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https://hessoit-my.sharepoint.com/personal/michael_pfister1_hes-so_ch/Documents/Bureau/"/>
    </mc:Choice>
  </mc:AlternateContent>
  <xr:revisionPtr revIDLastSave="1177" documentId="13_ncr:1_{C7526467-018C-4849-8988-5034B3C74D13}" xr6:coauthVersionLast="47" xr6:coauthVersionMax="47" xr10:uidLastSave="{DC01DD64-9B3B-4636-9747-E46B5EC50AB0}"/>
  <bookViews>
    <workbookView xWindow="28680" yWindow="-5370" windowWidth="51840" windowHeight="21120" tabRatio="736" xr2:uid="{00000000-000D-0000-FFFF-FFFF00000000}"/>
  </bookViews>
  <sheets>
    <sheet name="Anmerkungen" sheetId="5" r:id="rId1"/>
    <sheet name="Rohrhydraulik" sheetId="1" r:id="rId2"/>
    <sheet name="Vereinigung schiessend" sheetId="2" r:id="rId3"/>
    <sheet name="Krümmer schiessend" sheetId="7" r:id="rId4"/>
    <sheet name="Streichwehr" sheetId="3" r:id="rId5"/>
    <sheet name="Bodenöffnung" sheetId="4" r:id="rId6"/>
    <sheet name="Absturz vert. PP" sheetId="6" r:id="rId7"/>
    <sheet name="WFS strömend" sheetId="8" r:id="rId8"/>
    <sheet name="WFS schiessend" sheetId="9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9" i="8" l="1"/>
  <c r="C28" i="8"/>
  <c r="C39" i="8" s="1"/>
  <c r="D14" i="8"/>
  <c r="C15" i="8" s="1"/>
  <c r="C13" i="7"/>
  <c r="D21" i="1"/>
  <c r="C28" i="9"/>
  <c r="C30" i="9" s="1"/>
  <c r="F56" i="9"/>
  <c r="C57" i="9"/>
  <c r="C56" i="9"/>
  <c r="C55" i="9"/>
  <c r="C49" i="9"/>
  <c r="C51" i="9" s="1"/>
  <c r="C46" i="9"/>
  <c r="C45" i="9"/>
  <c r="C42" i="9"/>
  <c r="C43" i="9" s="1"/>
  <c r="C35" i="9"/>
  <c r="C23" i="9"/>
  <c r="D14" i="9"/>
  <c r="C15" i="9" s="1"/>
  <c r="D15" i="9" s="1"/>
  <c r="C16" i="9" s="1"/>
  <c r="C44" i="8"/>
  <c r="C46" i="8"/>
  <c r="C47" i="8" s="1"/>
  <c r="C23" i="8"/>
  <c r="N7" i="4"/>
  <c r="A30" i="6"/>
  <c r="A28" i="6"/>
  <c r="A27" i="6"/>
  <c r="I14" i="6"/>
  <c r="E7" i="6" s="1"/>
  <c r="I10" i="6"/>
  <c r="I11" i="6" s="1"/>
  <c r="I13" i="6" s="1"/>
  <c r="E10" i="6"/>
  <c r="E11" i="6" s="1"/>
  <c r="B10" i="6"/>
  <c r="B11" i="6" s="1"/>
  <c r="C29" i="8"/>
  <c r="C30" i="8" s="1"/>
  <c r="H17" i="3"/>
  <c r="N9" i="4"/>
  <c r="M20" i="3"/>
  <c r="M16" i="3"/>
  <c r="C19" i="3"/>
  <c r="C20" i="3" s="1"/>
  <c r="C26" i="3" s="1"/>
  <c r="H13" i="3"/>
  <c r="H14" i="3" s="1"/>
  <c r="H9" i="3"/>
  <c r="H7" i="3"/>
  <c r="C10" i="3"/>
  <c r="C11" i="3" s="1"/>
  <c r="D25" i="3"/>
  <c r="N6" i="4"/>
  <c r="C10" i="4"/>
  <c r="C37" i="7"/>
  <c r="I6" i="2"/>
  <c r="C22" i="7"/>
  <c r="L9" i="2"/>
  <c r="B18" i="2"/>
  <c r="C9" i="7"/>
  <c r="C10" i="7" s="1"/>
  <c r="C14" i="7" s="1"/>
  <c r="C14" i="2"/>
  <c r="C15" i="2" s="1"/>
  <c r="B14" i="2"/>
  <c r="B15" i="2" s="1"/>
  <c r="B16" i="2" s="1"/>
  <c r="D13" i="1"/>
  <c r="D14" i="1" s="1"/>
  <c r="M21" i="3" l="1"/>
  <c r="C47" i="9"/>
  <c r="F34" i="9"/>
  <c r="C41" i="8"/>
  <c r="D15" i="8"/>
  <c r="C16" i="8" s="1"/>
  <c r="D16" i="8" s="1"/>
  <c r="C17" i="8" s="1"/>
  <c r="D17" i="8" s="1"/>
  <c r="C18" i="8" s="1"/>
  <c r="D18" i="8" s="1"/>
  <c r="C19" i="8" s="1"/>
  <c r="D19" i="8" s="1"/>
  <c r="C20" i="8" s="1"/>
  <c r="D20" i="8" s="1"/>
  <c r="C21" i="8" s="1"/>
  <c r="C26" i="8" s="1"/>
  <c r="C11" i="7"/>
  <c r="C12" i="7" s="1"/>
  <c r="H34" i="9"/>
  <c r="C48" i="8"/>
  <c r="C40" i="8"/>
  <c r="C58" i="8"/>
  <c r="C57" i="8"/>
  <c r="C51" i="8"/>
  <c r="C53" i="8" s="1"/>
  <c r="C59" i="8"/>
  <c r="F58" i="8"/>
  <c r="H35" i="9"/>
  <c r="J35" i="9"/>
  <c r="C32" i="9"/>
  <c r="F30" i="9"/>
  <c r="F35" i="9"/>
  <c r="H36" i="9"/>
  <c r="I15" i="6"/>
  <c r="I18" i="6"/>
  <c r="I19" i="6" s="1"/>
  <c r="B15" i="6"/>
  <c r="B13" i="6"/>
  <c r="B14" i="6" s="1"/>
  <c r="B12" i="6"/>
  <c r="E15" i="6"/>
  <c r="E13" i="6"/>
  <c r="E14" i="6" s="1"/>
  <c r="E12" i="6"/>
  <c r="H19" i="3"/>
  <c r="C31" i="8"/>
  <c r="C33" i="8"/>
  <c r="C32" i="8"/>
  <c r="C31" i="9"/>
  <c r="F31" i="9" s="1"/>
  <c r="F36" i="9"/>
  <c r="F32" i="9"/>
  <c r="J36" i="9"/>
  <c r="C29" i="9"/>
  <c r="C12" i="3"/>
  <c r="C13" i="3"/>
  <c r="C14" i="3" s="1"/>
  <c r="C21" i="3"/>
  <c r="C22" i="3"/>
  <c r="C31" i="7"/>
  <c r="AN12" i="1"/>
  <c r="G29" i="1"/>
  <c r="B24" i="2"/>
  <c r="D9" i="1"/>
  <c r="C16" i="2"/>
  <c r="C38" i="7"/>
  <c r="C34" i="7"/>
  <c r="C35" i="7" s="1"/>
  <c r="C36" i="7" s="1"/>
  <c r="C29" i="7"/>
  <c r="C30" i="7" s="1"/>
  <c r="C18" i="7"/>
  <c r="C17" i="7"/>
  <c r="C24" i="8" l="1"/>
  <c r="C25" i="8" s="1"/>
  <c r="C50" i="8" s="1"/>
  <c r="C22" i="8"/>
  <c r="D16" i="9"/>
  <c r="C17" i="9" s="1"/>
  <c r="E16" i="6"/>
  <c r="E17" i="6" s="1"/>
  <c r="E18" i="6" s="1"/>
  <c r="B16" i="6"/>
  <c r="H75" i="6" s="1"/>
  <c r="F29" i="9"/>
  <c r="C15" i="3"/>
  <c r="M8" i="3"/>
  <c r="C21" i="7"/>
  <c r="C23" i="7" s="1"/>
  <c r="C24" i="7" s="1"/>
  <c r="F25" i="3"/>
  <c r="L25" i="3"/>
  <c r="K25" i="3"/>
  <c r="J25" i="3"/>
  <c r="I25" i="3"/>
  <c r="H25" i="3"/>
  <c r="G25" i="3"/>
  <c r="E25" i="3"/>
  <c r="C25" i="3"/>
  <c r="H66" i="6" l="1"/>
  <c r="H94" i="6"/>
  <c r="H58" i="6"/>
  <c r="H70" i="6"/>
  <c r="H57" i="6"/>
  <c r="H84" i="6"/>
  <c r="H78" i="6"/>
  <c r="H50" i="6"/>
  <c r="H72" i="6"/>
  <c r="H49" i="6"/>
  <c r="H43" i="6"/>
  <c r="H40" i="6"/>
  <c r="H28" i="6"/>
  <c r="H64" i="6"/>
  <c r="H87" i="6"/>
  <c r="H82" i="6"/>
  <c r="H71" i="6"/>
  <c r="H67" i="6"/>
  <c r="H56" i="6"/>
  <c r="H89" i="6"/>
  <c r="H86" i="6"/>
  <c r="H35" i="6"/>
  <c r="H30" i="6"/>
  <c r="H74" i="6"/>
  <c r="H95" i="6"/>
  <c r="H93" i="6"/>
  <c r="H51" i="6"/>
  <c r="H48" i="6"/>
  <c r="H73" i="6"/>
  <c r="H39" i="6"/>
  <c r="H53" i="6"/>
  <c r="H90" i="6"/>
  <c r="H65" i="6"/>
  <c r="H31" i="6"/>
  <c r="H45" i="6"/>
  <c r="H37" i="6"/>
  <c r="H92" i="6"/>
  <c r="H25" i="6"/>
  <c r="I25" i="6" s="1"/>
  <c r="J25" i="6" s="1"/>
  <c r="H81" i="6"/>
  <c r="H79" i="6"/>
  <c r="H46" i="6"/>
  <c r="H60" i="6"/>
  <c r="H85" i="6"/>
  <c r="H52" i="6"/>
  <c r="H77" i="6"/>
  <c r="H44" i="6"/>
  <c r="H36" i="6"/>
  <c r="H27" i="6"/>
  <c r="B93" i="6"/>
  <c r="B28" i="6"/>
  <c r="B52" i="6"/>
  <c r="B58" i="6"/>
  <c r="B33" i="6"/>
  <c r="B89" i="6"/>
  <c r="B64" i="6"/>
  <c r="B43" i="6"/>
  <c r="C43" i="6" s="1"/>
  <c r="D43" i="6" s="1"/>
  <c r="B87" i="6"/>
  <c r="H63" i="6"/>
  <c r="H38" i="6"/>
  <c r="H29" i="6"/>
  <c r="I29" i="6" s="1"/>
  <c r="J29" i="6" s="1"/>
  <c r="H91" i="6"/>
  <c r="B94" i="6"/>
  <c r="B46" i="6"/>
  <c r="D17" i="9"/>
  <c r="C18" i="9" s="1"/>
  <c r="B26" i="6"/>
  <c r="B85" i="6"/>
  <c r="B44" i="6"/>
  <c r="B49" i="6"/>
  <c r="B79" i="6"/>
  <c r="B51" i="6"/>
  <c r="B35" i="6"/>
  <c r="B71" i="6"/>
  <c r="B81" i="6"/>
  <c r="B45" i="6"/>
  <c r="E45" i="6" s="1"/>
  <c r="F45" i="6" s="1"/>
  <c r="B27" i="6"/>
  <c r="B80" i="6"/>
  <c r="B63" i="6"/>
  <c r="B77" i="6"/>
  <c r="B88" i="6"/>
  <c r="B59" i="6"/>
  <c r="B67" i="6"/>
  <c r="B36" i="6"/>
  <c r="B90" i="6"/>
  <c r="B72" i="6"/>
  <c r="B30" i="6"/>
  <c r="B42" i="6"/>
  <c r="B57" i="6"/>
  <c r="B37" i="6"/>
  <c r="B92" i="6"/>
  <c r="B50" i="6"/>
  <c r="B56" i="6"/>
  <c r="B86" i="6"/>
  <c r="B83" i="6"/>
  <c r="B29" i="6"/>
  <c r="B84" i="6"/>
  <c r="B41" i="6"/>
  <c r="B95" i="6"/>
  <c r="B70" i="6"/>
  <c r="H26" i="6"/>
  <c r="H88" i="6"/>
  <c r="H32" i="6"/>
  <c r="H42" i="6"/>
  <c r="H41" i="6"/>
  <c r="H55" i="6"/>
  <c r="H62" i="6"/>
  <c r="H69" i="6"/>
  <c r="H76" i="6"/>
  <c r="H83" i="6"/>
  <c r="B65" i="6"/>
  <c r="B34" i="6"/>
  <c r="E34" i="6" s="1"/>
  <c r="F34" i="6" s="1"/>
  <c r="B62" i="6"/>
  <c r="B61" i="6"/>
  <c r="B68" i="6"/>
  <c r="B74" i="6"/>
  <c r="B32" i="6"/>
  <c r="B39" i="6"/>
  <c r="B47" i="6"/>
  <c r="B75" i="6"/>
  <c r="B78" i="6"/>
  <c r="B69" i="6"/>
  <c r="B76" i="6"/>
  <c r="B82" i="6"/>
  <c r="B40" i="6"/>
  <c r="B48" i="6"/>
  <c r="B55" i="6"/>
  <c r="H80" i="6"/>
  <c r="H59" i="6"/>
  <c r="H34" i="6"/>
  <c r="H33" i="6"/>
  <c r="H47" i="6"/>
  <c r="H54" i="6"/>
  <c r="H61" i="6"/>
  <c r="H68" i="6"/>
  <c r="B91" i="6"/>
  <c r="B73" i="6"/>
  <c r="B54" i="6"/>
  <c r="B53" i="6"/>
  <c r="B60" i="6"/>
  <c r="B66" i="6"/>
  <c r="B25" i="6"/>
  <c r="B31" i="6"/>
  <c r="B38" i="6"/>
  <c r="M13" i="3"/>
  <c r="M17" i="3" s="1"/>
  <c r="H22" i="3" s="1"/>
  <c r="H20" i="3"/>
  <c r="D18" i="9" l="1"/>
  <c r="C25" i="6"/>
  <c r="D25" i="6" s="1"/>
  <c r="E25" i="6"/>
  <c r="F25" i="6" s="1"/>
  <c r="B22" i="2"/>
  <c r="AA4" i="1"/>
  <c r="L10" i="1"/>
  <c r="C19" i="9" l="1"/>
  <c r="D19" i="9" s="1"/>
  <c r="C20" i="9" s="1"/>
  <c r="D20" i="9" s="1"/>
  <c r="C21" i="9" s="1"/>
  <c r="C22" i="9" s="1"/>
  <c r="G25" i="6"/>
  <c r="I27" i="6"/>
  <c r="J27" i="6" s="1"/>
  <c r="C26" i="9" l="1"/>
  <c r="C39" i="9" s="1"/>
  <c r="C24" i="9"/>
  <c r="C25" i="9" s="1"/>
  <c r="C48" i="9" s="1"/>
  <c r="C28" i="6"/>
  <c r="D28" i="6" s="1"/>
  <c r="A29" i="6"/>
  <c r="I28" i="6"/>
  <c r="J28" i="6" s="1"/>
  <c r="I26" i="6"/>
  <c r="J26" i="6" s="1"/>
  <c r="B23" i="2"/>
  <c r="B17" i="2"/>
  <c r="I7" i="2" l="1"/>
  <c r="I9" i="2" s="1"/>
  <c r="N9" i="2" s="1"/>
  <c r="B26" i="2"/>
  <c r="C26" i="2" s="1"/>
  <c r="E28" i="6"/>
  <c r="F28" i="6" s="1"/>
  <c r="B19" i="2"/>
  <c r="I8" i="2"/>
  <c r="E27" i="6"/>
  <c r="F27" i="6" s="1"/>
  <c r="C27" i="6"/>
  <c r="D27" i="6" s="1"/>
  <c r="C26" i="6"/>
  <c r="D26" i="6" s="1"/>
  <c r="E26" i="6"/>
  <c r="F26" i="6" s="1"/>
  <c r="E29" i="6"/>
  <c r="F29" i="6" s="1"/>
  <c r="C29" i="6"/>
  <c r="D29" i="6" s="1"/>
  <c r="D12" i="1"/>
  <c r="G28" i="6" l="1"/>
  <c r="G27" i="6"/>
  <c r="I30" i="6"/>
  <c r="J30" i="6" s="1"/>
  <c r="A31" i="6"/>
  <c r="G26" i="6"/>
  <c r="G29" i="6"/>
  <c r="F10" i="4"/>
  <c r="F11" i="4" s="1"/>
  <c r="J6" i="4" s="1"/>
  <c r="C11" i="4"/>
  <c r="J7" i="4" l="1"/>
  <c r="I31" i="6"/>
  <c r="J31" i="6" s="1"/>
  <c r="A32" i="6"/>
  <c r="C30" i="6"/>
  <c r="D30" i="6" s="1"/>
  <c r="E30" i="6"/>
  <c r="F30" i="6" s="1"/>
  <c r="C15" i="4"/>
  <c r="C12" i="4"/>
  <c r="C13" i="4"/>
  <c r="C14" i="4" s="1"/>
  <c r="F12" i="4"/>
  <c r="F13" i="4"/>
  <c r="F14" i="4" s="1"/>
  <c r="F15" i="4"/>
  <c r="J11" i="4" l="1"/>
  <c r="J10" i="4"/>
  <c r="C16" i="4"/>
  <c r="J15" i="4" s="1"/>
  <c r="G30" i="6"/>
  <c r="A33" i="6"/>
  <c r="I32" i="6"/>
  <c r="J32" i="6" s="1"/>
  <c r="E31" i="6"/>
  <c r="F31" i="6" s="1"/>
  <c r="C31" i="6"/>
  <c r="D31" i="6" s="1"/>
  <c r="F16" i="4"/>
  <c r="J9" i="4" s="1"/>
  <c r="J17" i="4" l="1"/>
  <c r="J16" i="4"/>
  <c r="J8" i="4"/>
  <c r="G31" i="6"/>
  <c r="C32" i="6"/>
  <c r="D32" i="6" s="1"/>
  <c r="E32" i="6"/>
  <c r="F32" i="6" s="1"/>
  <c r="I33" i="6"/>
  <c r="J33" i="6" s="1"/>
  <c r="A34" i="6"/>
  <c r="N8" i="4" l="1"/>
  <c r="N10" i="4" s="1"/>
  <c r="N11" i="4" s="1"/>
  <c r="G32" i="6"/>
  <c r="C33" i="6"/>
  <c r="D33" i="6" s="1"/>
  <c r="E33" i="6"/>
  <c r="F33" i="6" s="1"/>
  <c r="I34" i="6"/>
  <c r="J34" i="6" s="1"/>
  <c r="A35" i="6"/>
  <c r="N13" i="4" l="1"/>
  <c r="N14" i="4" s="1"/>
  <c r="N12" i="4"/>
  <c r="N16" i="4" s="1"/>
  <c r="N15" i="4"/>
  <c r="G33" i="6"/>
  <c r="A36" i="6"/>
  <c r="I35" i="6"/>
  <c r="J35" i="6" s="1"/>
  <c r="C34" i="6"/>
  <c r="D34" i="6" s="1"/>
  <c r="G34" i="6" l="1"/>
  <c r="E35" i="6"/>
  <c r="F35" i="6" s="1"/>
  <c r="C35" i="6"/>
  <c r="D35" i="6" s="1"/>
  <c r="A37" i="6"/>
  <c r="I36" i="6"/>
  <c r="J36" i="6" s="1"/>
  <c r="G35" i="6" l="1"/>
  <c r="C36" i="6"/>
  <c r="D36" i="6" s="1"/>
  <c r="E36" i="6"/>
  <c r="F36" i="6" s="1"/>
  <c r="A38" i="6"/>
  <c r="I37" i="6"/>
  <c r="J37" i="6" s="1"/>
  <c r="G36" i="6" l="1"/>
  <c r="I38" i="6"/>
  <c r="J38" i="6" s="1"/>
  <c r="A39" i="6"/>
  <c r="C37" i="6"/>
  <c r="D37" i="6" s="1"/>
  <c r="E37" i="6"/>
  <c r="F37" i="6" s="1"/>
  <c r="H16" i="3"/>
  <c r="H15" i="3"/>
  <c r="H18" i="3" l="1"/>
  <c r="G37" i="6"/>
  <c r="E38" i="6"/>
  <c r="F38" i="6" s="1"/>
  <c r="C38" i="6"/>
  <c r="D38" i="6" s="1"/>
  <c r="A40" i="6"/>
  <c r="I39" i="6"/>
  <c r="J39" i="6" s="1"/>
  <c r="G38" i="6" l="1"/>
  <c r="C27" i="3"/>
  <c r="E39" i="6"/>
  <c r="F39" i="6" s="1"/>
  <c r="C39" i="6"/>
  <c r="D39" i="6" s="1"/>
  <c r="A41" i="6"/>
  <c r="I40" i="6"/>
  <c r="J40" i="6" s="1"/>
  <c r="D26" i="3" l="1"/>
  <c r="D27" i="3" s="1"/>
  <c r="E26" i="3" s="1"/>
  <c r="C29" i="3"/>
  <c r="C30" i="3" s="1"/>
  <c r="C28" i="3"/>
  <c r="E40" i="6"/>
  <c r="F40" i="6" s="1"/>
  <c r="C40" i="6"/>
  <c r="D40" i="6" s="1"/>
  <c r="I41" i="6"/>
  <c r="J41" i="6" s="1"/>
  <c r="A42" i="6"/>
  <c r="G39" i="6"/>
  <c r="G40" i="6" l="1"/>
  <c r="C41" i="6"/>
  <c r="D41" i="6" s="1"/>
  <c r="E41" i="6"/>
  <c r="F41" i="6" s="1"/>
  <c r="I42" i="6"/>
  <c r="J42" i="6" s="1"/>
  <c r="A43" i="6"/>
  <c r="A44" i="6" l="1"/>
  <c r="I43" i="6"/>
  <c r="J43" i="6" s="1"/>
  <c r="C42" i="6"/>
  <c r="D42" i="6" s="1"/>
  <c r="E42" i="6"/>
  <c r="F42" i="6" s="1"/>
  <c r="G41" i="6"/>
  <c r="E43" i="6" l="1"/>
  <c r="F43" i="6" s="1"/>
  <c r="G42" i="6"/>
  <c r="A45" i="6"/>
  <c r="I44" i="6"/>
  <c r="J44" i="6" s="1"/>
  <c r="C44" i="6" l="1"/>
  <c r="D44" i="6" s="1"/>
  <c r="E44" i="6"/>
  <c r="F44" i="6" s="1"/>
  <c r="A46" i="6"/>
  <c r="I45" i="6"/>
  <c r="J45" i="6" s="1"/>
  <c r="G43" i="6"/>
  <c r="G44" i="6" l="1"/>
  <c r="C45" i="6"/>
  <c r="D45" i="6" s="1"/>
  <c r="A47" i="6"/>
  <c r="I46" i="6"/>
  <c r="J46" i="6" s="1"/>
  <c r="G45" i="6" l="1"/>
  <c r="C46" i="6"/>
  <c r="D46" i="6" s="1"/>
  <c r="E46" i="6"/>
  <c r="F46" i="6" s="1"/>
  <c r="I47" i="6"/>
  <c r="J47" i="6" s="1"/>
  <c r="A48" i="6"/>
  <c r="G46" i="6" l="1"/>
  <c r="I48" i="6"/>
  <c r="J48" i="6" s="1"/>
  <c r="A49" i="6"/>
  <c r="E47" i="6"/>
  <c r="F47" i="6" s="1"/>
  <c r="C47" i="6"/>
  <c r="D47" i="6" s="1"/>
  <c r="G47" i="6" l="1"/>
  <c r="E48" i="6"/>
  <c r="F48" i="6" s="1"/>
  <c r="C48" i="6"/>
  <c r="D48" i="6" s="1"/>
  <c r="A50" i="6"/>
  <c r="I49" i="6"/>
  <c r="J49" i="6" s="1"/>
  <c r="G48" i="6" l="1"/>
  <c r="E49" i="6"/>
  <c r="F49" i="6" s="1"/>
  <c r="C49" i="6"/>
  <c r="D49" i="6" s="1"/>
  <c r="I50" i="6"/>
  <c r="J50" i="6" s="1"/>
  <c r="A51" i="6"/>
  <c r="C18" i="2"/>
  <c r="B25" i="2"/>
  <c r="C25" i="2" s="1"/>
  <c r="G49" i="6" l="1"/>
  <c r="C50" i="6"/>
  <c r="D50" i="6" s="1"/>
  <c r="E50" i="6"/>
  <c r="F50" i="6" s="1"/>
  <c r="C17" i="2"/>
  <c r="B27" i="2" s="1"/>
  <c r="C27" i="2" s="1"/>
  <c r="I51" i="6"/>
  <c r="J51" i="6" s="1"/>
  <c r="A52" i="6"/>
  <c r="C19" i="2" l="1"/>
  <c r="A53" i="6"/>
  <c r="I52" i="6"/>
  <c r="J52" i="6" s="1"/>
  <c r="C51" i="6"/>
  <c r="D51" i="6" s="1"/>
  <c r="E51" i="6"/>
  <c r="F51" i="6" s="1"/>
  <c r="G50" i="6"/>
  <c r="S372" i="1"/>
  <c r="T372" i="1" s="1"/>
  <c r="S371" i="1"/>
  <c r="T371" i="1" s="1"/>
  <c r="V371" i="1" s="1"/>
  <c r="S370" i="1"/>
  <c r="T370" i="1" s="1"/>
  <c r="U370" i="1" s="1"/>
  <c r="S369" i="1"/>
  <c r="T369" i="1" s="1"/>
  <c r="S368" i="1"/>
  <c r="T368" i="1" s="1"/>
  <c r="S367" i="1"/>
  <c r="T367" i="1" s="1"/>
  <c r="S366" i="1"/>
  <c r="T366" i="1" s="1"/>
  <c r="U366" i="1" s="1"/>
  <c r="S365" i="1"/>
  <c r="T365" i="1" s="1"/>
  <c r="S364" i="1"/>
  <c r="T364" i="1" s="1"/>
  <c r="U364" i="1" s="1"/>
  <c r="S363" i="1"/>
  <c r="T363" i="1" s="1"/>
  <c r="V363" i="1" s="1"/>
  <c r="S362" i="1"/>
  <c r="T362" i="1" s="1"/>
  <c r="S361" i="1"/>
  <c r="T361" i="1" s="1"/>
  <c r="S360" i="1"/>
  <c r="T360" i="1" s="1"/>
  <c r="U360" i="1" s="1"/>
  <c r="S359" i="1"/>
  <c r="T359" i="1" s="1"/>
  <c r="S358" i="1"/>
  <c r="T358" i="1" s="1"/>
  <c r="S357" i="1"/>
  <c r="T357" i="1" s="1"/>
  <c r="S356" i="1"/>
  <c r="T356" i="1" s="1"/>
  <c r="U356" i="1" s="1"/>
  <c r="S355" i="1"/>
  <c r="T355" i="1" s="1"/>
  <c r="S354" i="1"/>
  <c r="T354" i="1" s="1"/>
  <c r="U354" i="1" s="1"/>
  <c r="S353" i="1"/>
  <c r="T353" i="1" s="1"/>
  <c r="S352" i="1"/>
  <c r="T352" i="1" s="1"/>
  <c r="U352" i="1" s="1"/>
  <c r="S351" i="1"/>
  <c r="T351" i="1" s="1"/>
  <c r="S350" i="1"/>
  <c r="T350" i="1" s="1"/>
  <c r="S349" i="1"/>
  <c r="T349" i="1" s="1"/>
  <c r="S348" i="1"/>
  <c r="T348" i="1" s="1"/>
  <c r="S347" i="1"/>
  <c r="T347" i="1" s="1"/>
  <c r="S346" i="1"/>
  <c r="T346" i="1" s="1"/>
  <c r="S345" i="1"/>
  <c r="T345" i="1" s="1"/>
  <c r="V345" i="1" s="1"/>
  <c r="S344" i="1"/>
  <c r="T344" i="1" s="1"/>
  <c r="S343" i="1"/>
  <c r="T343" i="1" s="1"/>
  <c r="S342" i="1"/>
  <c r="T342" i="1" s="1"/>
  <c r="S341" i="1"/>
  <c r="T341" i="1" s="1"/>
  <c r="S340" i="1"/>
  <c r="T340" i="1" s="1"/>
  <c r="S339" i="1"/>
  <c r="T339" i="1" s="1"/>
  <c r="V339" i="1" s="1"/>
  <c r="S338" i="1"/>
  <c r="T338" i="1" s="1"/>
  <c r="S337" i="1"/>
  <c r="T337" i="1" s="1"/>
  <c r="S336" i="1"/>
  <c r="T336" i="1" s="1"/>
  <c r="W336" i="1" s="1"/>
  <c r="S335" i="1"/>
  <c r="T335" i="1" s="1"/>
  <c r="W335" i="1" s="1"/>
  <c r="S334" i="1"/>
  <c r="T334" i="1" s="1"/>
  <c r="S333" i="1"/>
  <c r="T333" i="1" s="1"/>
  <c r="S332" i="1"/>
  <c r="T332" i="1" s="1"/>
  <c r="V332" i="1" s="1"/>
  <c r="S331" i="1"/>
  <c r="T331" i="1" s="1"/>
  <c r="S330" i="1"/>
  <c r="T330" i="1" s="1"/>
  <c r="S329" i="1"/>
  <c r="T329" i="1" s="1"/>
  <c r="S328" i="1"/>
  <c r="T328" i="1" s="1"/>
  <c r="S327" i="1"/>
  <c r="T327" i="1" s="1"/>
  <c r="W327" i="1" s="1"/>
  <c r="S326" i="1"/>
  <c r="T326" i="1" s="1"/>
  <c r="S325" i="1"/>
  <c r="T325" i="1" s="1"/>
  <c r="S324" i="1"/>
  <c r="T324" i="1" s="1"/>
  <c r="W324" i="1" s="1"/>
  <c r="S323" i="1"/>
  <c r="T323" i="1" s="1"/>
  <c r="S322" i="1"/>
  <c r="T322" i="1" s="1"/>
  <c r="S321" i="1"/>
  <c r="T321" i="1" s="1"/>
  <c r="W321" i="1" s="1"/>
  <c r="S320" i="1"/>
  <c r="T320" i="1" s="1"/>
  <c r="U320" i="1" s="1"/>
  <c r="S319" i="1"/>
  <c r="T319" i="1" s="1"/>
  <c r="S318" i="1"/>
  <c r="T318" i="1" s="1"/>
  <c r="S317" i="1"/>
  <c r="T317" i="1" s="1"/>
  <c r="W317" i="1" s="1"/>
  <c r="S316" i="1"/>
  <c r="T316" i="1" s="1"/>
  <c r="U316" i="1" s="1"/>
  <c r="S315" i="1"/>
  <c r="T315" i="1" s="1"/>
  <c r="U315" i="1" s="1"/>
  <c r="S314" i="1"/>
  <c r="T314" i="1" s="1"/>
  <c r="S313" i="1"/>
  <c r="T313" i="1" s="1"/>
  <c r="V313" i="1" s="1"/>
  <c r="S312" i="1"/>
  <c r="T312" i="1" s="1"/>
  <c r="V312" i="1" s="1"/>
  <c r="S311" i="1"/>
  <c r="T311" i="1" s="1"/>
  <c r="U311" i="1" s="1"/>
  <c r="S310" i="1"/>
  <c r="T310" i="1" s="1"/>
  <c r="S309" i="1"/>
  <c r="T309" i="1" s="1"/>
  <c r="S308" i="1"/>
  <c r="T308" i="1" s="1"/>
  <c r="S307" i="1"/>
  <c r="T307" i="1" s="1"/>
  <c r="S306" i="1"/>
  <c r="T306" i="1" s="1"/>
  <c r="S305" i="1"/>
  <c r="T305" i="1" s="1"/>
  <c r="S304" i="1"/>
  <c r="T304" i="1" s="1"/>
  <c r="S303" i="1"/>
  <c r="T303" i="1" s="1"/>
  <c r="V303" i="1" s="1"/>
  <c r="S302" i="1"/>
  <c r="T302" i="1" s="1"/>
  <c r="S301" i="1"/>
  <c r="T301" i="1" s="1"/>
  <c r="S300" i="1"/>
  <c r="T300" i="1" s="1"/>
  <c r="S299" i="1"/>
  <c r="T299" i="1" s="1"/>
  <c r="U299" i="1" s="1"/>
  <c r="S298" i="1"/>
  <c r="T298" i="1" s="1"/>
  <c r="W298" i="1" s="1"/>
  <c r="S297" i="1"/>
  <c r="T297" i="1" s="1"/>
  <c r="S296" i="1"/>
  <c r="T296" i="1" s="1"/>
  <c r="S295" i="1"/>
  <c r="T295" i="1" s="1"/>
  <c r="U295" i="1" s="1"/>
  <c r="S294" i="1"/>
  <c r="T294" i="1" s="1"/>
  <c r="S293" i="1"/>
  <c r="T293" i="1" s="1"/>
  <c r="U293" i="1" s="1"/>
  <c r="S292" i="1"/>
  <c r="T292" i="1" s="1"/>
  <c r="W292" i="1" s="1"/>
  <c r="S291" i="1"/>
  <c r="T291" i="1" s="1"/>
  <c r="S290" i="1"/>
  <c r="T290" i="1" s="1"/>
  <c r="S289" i="1"/>
  <c r="T289" i="1" s="1"/>
  <c r="W289" i="1" s="1"/>
  <c r="S288" i="1"/>
  <c r="T288" i="1" s="1"/>
  <c r="W288" i="1" s="1"/>
  <c r="S287" i="1"/>
  <c r="T287" i="1" s="1"/>
  <c r="S286" i="1"/>
  <c r="T286" i="1" s="1"/>
  <c r="S285" i="1"/>
  <c r="T285" i="1" s="1"/>
  <c r="S284" i="1"/>
  <c r="T284" i="1" s="1"/>
  <c r="W284" i="1" s="1"/>
  <c r="S283" i="1"/>
  <c r="T283" i="1" s="1"/>
  <c r="S282" i="1"/>
  <c r="T282" i="1" s="1"/>
  <c r="S281" i="1"/>
  <c r="T281" i="1" s="1"/>
  <c r="S280" i="1"/>
  <c r="T280" i="1" s="1"/>
  <c r="W280" i="1" s="1"/>
  <c r="S279" i="1"/>
  <c r="T279" i="1" s="1"/>
  <c r="S278" i="1"/>
  <c r="T278" i="1" s="1"/>
  <c r="S277" i="1"/>
  <c r="T277" i="1" s="1"/>
  <c r="W277" i="1" s="1"/>
  <c r="S276" i="1"/>
  <c r="T276" i="1" s="1"/>
  <c r="W276" i="1" s="1"/>
  <c r="S275" i="1"/>
  <c r="T275" i="1" s="1"/>
  <c r="S274" i="1"/>
  <c r="T274" i="1" s="1"/>
  <c r="W274" i="1" s="1"/>
  <c r="S273" i="1"/>
  <c r="T273" i="1" s="1"/>
  <c r="V273" i="1" s="1"/>
  <c r="S272" i="1"/>
  <c r="T272" i="1" s="1"/>
  <c r="W272" i="1" s="1"/>
  <c r="S271" i="1"/>
  <c r="T271" i="1" s="1"/>
  <c r="S270" i="1"/>
  <c r="T270" i="1" s="1"/>
  <c r="W270" i="1" s="1"/>
  <c r="S269" i="1"/>
  <c r="T269" i="1" s="1"/>
  <c r="S268" i="1"/>
  <c r="T268" i="1" s="1"/>
  <c r="S267" i="1"/>
  <c r="T267" i="1" s="1"/>
  <c r="S266" i="1"/>
  <c r="T266" i="1" s="1"/>
  <c r="U266" i="1" s="1"/>
  <c r="S265" i="1"/>
  <c r="T265" i="1" s="1"/>
  <c r="S264" i="1"/>
  <c r="T264" i="1" s="1"/>
  <c r="V264" i="1" s="1"/>
  <c r="S263" i="1"/>
  <c r="T263" i="1" s="1"/>
  <c r="W263" i="1" s="1"/>
  <c r="S262" i="1"/>
  <c r="T262" i="1" s="1"/>
  <c r="S261" i="1"/>
  <c r="T261" i="1" s="1"/>
  <c r="S260" i="1"/>
  <c r="T260" i="1" s="1"/>
  <c r="S259" i="1"/>
  <c r="T259" i="1" s="1"/>
  <c r="S258" i="1"/>
  <c r="T258" i="1" s="1"/>
  <c r="S257" i="1"/>
  <c r="T257" i="1" s="1"/>
  <c r="S256" i="1"/>
  <c r="T256" i="1" s="1"/>
  <c r="S255" i="1"/>
  <c r="T255" i="1" s="1"/>
  <c r="S254" i="1"/>
  <c r="T254" i="1" s="1"/>
  <c r="U254" i="1" s="1"/>
  <c r="S253" i="1"/>
  <c r="T253" i="1" s="1"/>
  <c r="S252" i="1"/>
  <c r="T252" i="1" s="1"/>
  <c r="V252" i="1" s="1"/>
  <c r="S251" i="1"/>
  <c r="T251" i="1" s="1"/>
  <c r="S250" i="1"/>
  <c r="T250" i="1" s="1"/>
  <c r="S249" i="1"/>
  <c r="T249" i="1" s="1"/>
  <c r="S248" i="1"/>
  <c r="T248" i="1" s="1"/>
  <c r="S247" i="1"/>
  <c r="T247" i="1" s="1"/>
  <c r="S246" i="1"/>
  <c r="T246" i="1" s="1"/>
  <c r="S245" i="1"/>
  <c r="T245" i="1" s="1"/>
  <c r="S244" i="1"/>
  <c r="T244" i="1" s="1"/>
  <c r="S243" i="1"/>
  <c r="T243" i="1" s="1"/>
  <c r="S242" i="1"/>
  <c r="T242" i="1" s="1"/>
  <c r="S241" i="1"/>
  <c r="T241" i="1" s="1"/>
  <c r="S240" i="1"/>
  <c r="T240" i="1" s="1"/>
  <c r="S239" i="1"/>
  <c r="T239" i="1" s="1"/>
  <c r="S238" i="1"/>
  <c r="T238" i="1" s="1"/>
  <c r="W238" i="1" s="1"/>
  <c r="S237" i="1"/>
  <c r="T237" i="1" s="1"/>
  <c r="S236" i="1"/>
  <c r="T236" i="1" s="1"/>
  <c r="S235" i="1"/>
  <c r="T235" i="1" s="1"/>
  <c r="S234" i="1"/>
  <c r="T234" i="1" s="1"/>
  <c r="S233" i="1"/>
  <c r="T233" i="1" s="1"/>
  <c r="S232" i="1"/>
  <c r="T232" i="1" s="1"/>
  <c r="U232" i="1" s="1"/>
  <c r="S231" i="1"/>
  <c r="T231" i="1" s="1"/>
  <c r="S230" i="1"/>
  <c r="T230" i="1" s="1"/>
  <c r="S229" i="1"/>
  <c r="T229" i="1" s="1"/>
  <c r="S228" i="1"/>
  <c r="T228" i="1" s="1"/>
  <c r="S227" i="1"/>
  <c r="T227" i="1" s="1"/>
  <c r="U227" i="1" s="1"/>
  <c r="S226" i="1"/>
  <c r="T226" i="1" s="1"/>
  <c r="S225" i="1"/>
  <c r="T225" i="1" s="1"/>
  <c r="S224" i="1"/>
  <c r="T224" i="1" s="1"/>
  <c r="S223" i="1"/>
  <c r="T223" i="1" s="1"/>
  <c r="S222" i="1"/>
  <c r="T222" i="1" s="1"/>
  <c r="S221" i="1"/>
  <c r="T221" i="1" s="1"/>
  <c r="S220" i="1"/>
  <c r="T220" i="1" s="1"/>
  <c r="S219" i="1"/>
  <c r="T219" i="1" s="1"/>
  <c r="S218" i="1"/>
  <c r="T218" i="1" s="1"/>
  <c r="S217" i="1"/>
  <c r="T217" i="1" s="1"/>
  <c r="S216" i="1"/>
  <c r="T216" i="1" s="1"/>
  <c r="S215" i="1"/>
  <c r="T215" i="1" s="1"/>
  <c r="V215" i="1" s="1"/>
  <c r="S214" i="1"/>
  <c r="T214" i="1" s="1"/>
  <c r="S213" i="1"/>
  <c r="T213" i="1" s="1"/>
  <c r="S212" i="1"/>
  <c r="T212" i="1" s="1"/>
  <c r="S211" i="1"/>
  <c r="T211" i="1" s="1"/>
  <c r="U211" i="1" s="1"/>
  <c r="S210" i="1"/>
  <c r="T210" i="1" s="1"/>
  <c r="U210" i="1" s="1"/>
  <c r="S209" i="1"/>
  <c r="T209" i="1" s="1"/>
  <c r="V209" i="1" s="1"/>
  <c r="S208" i="1"/>
  <c r="T208" i="1" s="1"/>
  <c r="S207" i="1"/>
  <c r="T207" i="1" s="1"/>
  <c r="U207" i="1" s="1"/>
  <c r="S206" i="1"/>
  <c r="T206" i="1" s="1"/>
  <c r="V206" i="1" s="1"/>
  <c r="S205" i="1"/>
  <c r="T205" i="1" s="1"/>
  <c r="S204" i="1"/>
  <c r="T204" i="1" s="1"/>
  <c r="U204" i="1" s="1"/>
  <c r="S203" i="1"/>
  <c r="T203" i="1" s="1"/>
  <c r="S202" i="1"/>
  <c r="T202" i="1" s="1"/>
  <c r="S201" i="1"/>
  <c r="T201" i="1" s="1"/>
  <c r="U201" i="1" s="1"/>
  <c r="S200" i="1"/>
  <c r="T200" i="1" s="1"/>
  <c r="U200" i="1" s="1"/>
  <c r="S199" i="1"/>
  <c r="T199" i="1" s="1"/>
  <c r="U199" i="1" s="1"/>
  <c r="S198" i="1"/>
  <c r="T198" i="1" s="1"/>
  <c r="V198" i="1" s="1"/>
  <c r="S197" i="1"/>
  <c r="T197" i="1" s="1"/>
  <c r="S196" i="1"/>
  <c r="T196" i="1" s="1"/>
  <c r="U196" i="1" s="1"/>
  <c r="S195" i="1"/>
  <c r="T195" i="1" s="1"/>
  <c r="S194" i="1"/>
  <c r="T194" i="1" s="1"/>
  <c r="S193" i="1"/>
  <c r="T193" i="1" s="1"/>
  <c r="U193" i="1" s="1"/>
  <c r="S192" i="1"/>
  <c r="T192" i="1" s="1"/>
  <c r="U192" i="1" s="1"/>
  <c r="S191" i="1"/>
  <c r="T191" i="1" s="1"/>
  <c r="U191" i="1" s="1"/>
  <c r="S190" i="1"/>
  <c r="T190" i="1" s="1"/>
  <c r="V190" i="1" s="1"/>
  <c r="S189" i="1"/>
  <c r="T189" i="1" s="1"/>
  <c r="S188" i="1"/>
  <c r="T188" i="1" s="1"/>
  <c r="U188" i="1" s="1"/>
  <c r="S187" i="1"/>
  <c r="T187" i="1" s="1"/>
  <c r="S186" i="1"/>
  <c r="T186" i="1" s="1"/>
  <c r="V186" i="1" s="1"/>
  <c r="S185" i="1"/>
  <c r="T185" i="1" s="1"/>
  <c r="W185" i="1" s="1"/>
  <c r="S184" i="1"/>
  <c r="T184" i="1" s="1"/>
  <c r="W184" i="1" s="1"/>
  <c r="S183" i="1"/>
  <c r="T183" i="1" s="1"/>
  <c r="S182" i="1"/>
  <c r="T182" i="1" s="1"/>
  <c r="S181" i="1"/>
  <c r="T181" i="1" s="1"/>
  <c r="S180" i="1"/>
  <c r="T180" i="1" s="1"/>
  <c r="W180" i="1" s="1"/>
  <c r="S179" i="1"/>
  <c r="T179" i="1" s="1"/>
  <c r="S178" i="1"/>
  <c r="T178" i="1" s="1"/>
  <c r="W178" i="1" s="1"/>
  <c r="S177" i="1"/>
  <c r="T177" i="1" s="1"/>
  <c r="S176" i="1"/>
  <c r="T176" i="1" s="1"/>
  <c r="S175" i="1"/>
  <c r="T175" i="1" s="1"/>
  <c r="S174" i="1"/>
  <c r="T174" i="1" s="1"/>
  <c r="V174" i="1" s="1"/>
  <c r="S173" i="1"/>
  <c r="T173" i="1" s="1"/>
  <c r="U173" i="1" s="1"/>
  <c r="S172" i="1"/>
  <c r="T172" i="1" s="1"/>
  <c r="W172" i="1" s="1"/>
  <c r="S171" i="1"/>
  <c r="T171" i="1" s="1"/>
  <c r="V171" i="1" s="1"/>
  <c r="S170" i="1"/>
  <c r="T170" i="1" s="1"/>
  <c r="U170" i="1" s="1"/>
  <c r="S169" i="1"/>
  <c r="T169" i="1" s="1"/>
  <c r="W169" i="1" s="1"/>
  <c r="S168" i="1"/>
  <c r="T168" i="1" s="1"/>
  <c r="V168" i="1" s="1"/>
  <c r="S167" i="1"/>
  <c r="T167" i="1" s="1"/>
  <c r="S166" i="1"/>
  <c r="T166" i="1" s="1"/>
  <c r="S165" i="1"/>
  <c r="T165" i="1" s="1"/>
  <c r="S164" i="1"/>
  <c r="T164" i="1" s="1"/>
  <c r="W164" i="1" s="1"/>
  <c r="S163" i="1"/>
  <c r="T163" i="1" s="1"/>
  <c r="S162" i="1"/>
  <c r="T162" i="1" s="1"/>
  <c r="W162" i="1" s="1"/>
  <c r="S161" i="1"/>
  <c r="T161" i="1" s="1"/>
  <c r="W161" i="1" s="1"/>
  <c r="S160" i="1"/>
  <c r="T160" i="1" s="1"/>
  <c r="S159" i="1"/>
  <c r="T159" i="1" s="1"/>
  <c r="S158" i="1"/>
  <c r="T158" i="1" s="1"/>
  <c r="S157" i="1"/>
  <c r="T157" i="1" s="1"/>
  <c r="S156" i="1"/>
  <c r="T156" i="1" s="1"/>
  <c r="S155" i="1"/>
  <c r="T155" i="1" s="1"/>
  <c r="S154" i="1"/>
  <c r="T154" i="1" s="1"/>
  <c r="W154" i="1" s="1"/>
  <c r="S153" i="1"/>
  <c r="T153" i="1" s="1"/>
  <c r="U153" i="1" s="1"/>
  <c r="S152" i="1"/>
  <c r="T152" i="1" s="1"/>
  <c r="S151" i="1"/>
  <c r="T151" i="1" s="1"/>
  <c r="V151" i="1" s="1"/>
  <c r="S150" i="1"/>
  <c r="T150" i="1" s="1"/>
  <c r="S149" i="1"/>
  <c r="T149" i="1" s="1"/>
  <c r="S148" i="1"/>
  <c r="T148" i="1" s="1"/>
  <c r="S147" i="1"/>
  <c r="T147" i="1" s="1"/>
  <c r="S146" i="1"/>
  <c r="T146" i="1" s="1"/>
  <c r="S145" i="1"/>
  <c r="T145" i="1" s="1"/>
  <c r="V145" i="1" s="1"/>
  <c r="S144" i="1"/>
  <c r="T144" i="1" s="1"/>
  <c r="S143" i="1"/>
  <c r="T143" i="1" s="1"/>
  <c r="S142" i="1"/>
  <c r="T142" i="1" s="1"/>
  <c r="V142" i="1" s="1"/>
  <c r="S141" i="1"/>
  <c r="T141" i="1" s="1"/>
  <c r="S140" i="1"/>
  <c r="T140" i="1" s="1"/>
  <c r="W140" i="1" s="1"/>
  <c r="S139" i="1"/>
  <c r="T139" i="1" s="1"/>
  <c r="S138" i="1"/>
  <c r="T138" i="1" s="1"/>
  <c r="S137" i="1"/>
  <c r="T137" i="1" s="1"/>
  <c r="V137" i="1" s="1"/>
  <c r="S136" i="1"/>
  <c r="T136" i="1" s="1"/>
  <c r="W136" i="1" s="1"/>
  <c r="S135" i="1"/>
  <c r="T135" i="1" s="1"/>
  <c r="V135" i="1" s="1"/>
  <c r="S134" i="1"/>
  <c r="T134" i="1" s="1"/>
  <c r="U134" i="1" s="1"/>
  <c r="S133" i="1"/>
  <c r="T133" i="1" s="1"/>
  <c r="S132" i="1"/>
  <c r="T132" i="1" s="1"/>
  <c r="W132" i="1" s="1"/>
  <c r="S131" i="1"/>
  <c r="T131" i="1" s="1"/>
  <c r="S130" i="1"/>
  <c r="T130" i="1" s="1"/>
  <c r="W130" i="1" s="1"/>
  <c r="S129" i="1"/>
  <c r="T129" i="1" s="1"/>
  <c r="S128" i="1"/>
  <c r="T128" i="1" s="1"/>
  <c r="W128" i="1" s="1"/>
  <c r="S127" i="1"/>
  <c r="T127" i="1" s="1"/>
  <c r="V127" i="1" s="1"/>
  <c r="S126" i="1"/>
  <c r="T126" i="1" s="1"/>
  <c r="S125" i="1"/>
  <c r="T125" i="1" s="1"/>
  <c r="U125" i="1" s="1"/>
  <c r="S124" i="1"/>
  <c r="T124" i="1" s="1"/>
  <c r="W124" i="1" s="1"/>
  <c r="S123" i="1"/>
  <c r="T123" i="1" s="1"/>
  <c r="U123" i="1" s="1"/>
  <c r="S122" i="1"/>
  <c r="T122" i="1" s="1"/>
  <c r="S121" i="1"/>
  <c r="T121" i="1" s="1"/>
  <c r="S120" i="1"/>
  <c r="T120" i="1" s="1"/>
  <c r="W120" i="1" s="1"/>
  <c r="S119" i="1"/>
  <c r="T119" i="1" s="1"/>
  <c r="S118" i="1"/>
  <c r="T118" i="1" s="1"/>
  <c r="S117" i="1"/>
  <c r="T117" i="1" s="1"/>
  <c r="S116" i="1"/>
  <c r="T116" i="1" s="1"/>
  <c r="S115" i="1"/>
  <c r="T115" i="1" s="1"/>
  <c r="S114" i="1"/>
  <c r="T114" i="1" s="1"/>
  <c r="S113" i="1"/>
  <c r="T113" i="1" s="1"/>
  <c r="S112" i="1"/>
  <c r="T112" i="1" s="1"/>
  <c r="S111" i="1"/>
  <c r="T111" i="1" s="1"/>
  <c r="S110" i="1"/>
  <c r="T110" i="1" s="1"/>
  <c r="S109" i="1"/>
  <c r="T109" i="1" s="1"/>
  <c r="S108" i="1"/>
  <c r="T108" i="1" s="1"/>
  <c r="S107" i="1"/>
  <c r="T107" i="1" s="1"/>
  <c r="S106" i="1"/>
  <c r="T106" i="1" s="1"/>
  <c r="S105" i="1"/>
  <c r="T105" i="1" s="1"/>
  <c r="S104" i="1"/>
  <c r="T104" i="1" s="1"/>
  <c r="S103" i="1"/>
  <c r="T103" i="1" s="1"/>
  <c r="S102" i="1"/>
  <c r="T102" i="1" s="1"/>
  <c r="S101" i="1"/>
  <c r="T101" i="1" s="1"/>
  <c r="S100" i="1"/>
  <c r="T100" i="1" s="1"/>
  <c r="S99" i="1"/>
  <c r="T99" i="1" s="1"/>
  <c r="S98" i="1"/>
  <c r="T98" i="1" s="1"/>
  <c r="S97" i="1"/>
  <c r="T97" i="1" s="1"/>
  <c r="W97" i="1" s="1"/>
  <c r="S96" i="1"/>
  <c r="T96" i="1" s="1"/>
  <c r="S95" i="1"/>
  <c r="T95" i="1" s="1"/>
  <c r="S94" i="1"/>
  <c r="T94" i="1" s="1"/>
  <c r="V94" i="1" s="1"/>
  <c r="S93" i="1"/>
  <c r="T93" i="1" s="1"/>
  <c r="S92" i="1"/>
  <c r="T92" i="1" s="1"/>
  <c r="S91" i="1"/>
  <c r="T91" i="1" s="1"/>
  <c r="S90" i="1"/>
  <c r="T90" i="1" s="1"/>
  <c r="V90" i="1" s="1"/>
  <c r="S89" i="1"/>
  <c r="T89" i="1" s="1"/>
  <c r="S88" i="1"/>
  <c r="T88" i="1" s="1"/>
  <c r="S87" i="1"/>
  <c r="T87" i="1" s="1"/>
  <c r="S86" i="1"/>
  <c r="T86" i="1" s="1"/>
  <c r="W86" i="1" s="1"/>
  <c r="S85" i="1"/>
  <c r="T85" i="1" s="1"/>
  <c r="S84" i="1"/>
  <c r="T84" i="1" s="1"/>
  <c r="V84" i="1" s="1"/>
  <c r="S83" i="1"/>
  <c r="T83" i="1" s="1"/>
  <c r="S82" i="1"/>
  <c r="T82" i="1" s="1"/>
  <c r="S81" i="1"/>
  <c r="T81" i="1" s="1"/>
  <c r="S80" i="1"/>
  <c r="T80" i="1" s="1"/>
  <c r="S79" i="1"/>
  <c r="T79" i="1" s="1"/>
  <c r="S78" i="1"/>
  <c r="T78" i="1" s="1"/>
  <c r="W78" i="1" s="1"/>
  <c r="S77" i="1"/>
  <c r="T77" i="1" s="1"/>
  <c r="U77" i="1" s="1"/>
  <c r="S76" i="1"/>
  <c r="T76" i="1" s="1"/>
  <c r="S75" i="1"/>
  <c r="T75" i="1" s="1"/>
  <c r="S74" i="1"/>
  <c r="T74" i="1" s="1"/>
  <c r="W74" i="1" s="1"/>
  <c r="S73" i="1"/>
  <c r="T73" i="1" s="1"/>
  <c r="S72" i="1"/>
  <c r="T72" i="1" s="1"/>
  <c r="S71" i="1"/>
  <c r="T71" i="1" s="1"/>
  <c r="S70" i="1"/>
  <c r="T70" i="1" s="1"/>
  <c r="W70" i="1" s="1"/>
  <c r="S69" i="1"/>
  <c r="T69" i="1" s="1"/>
  <c r="S68" i="1"/>
  <c r="T68" i="1" s="1"/>
  <c r="S67" i="1"/>
  <c r="T67" i="1" s="1"/>
  <c r="S66" i="1"/>
  <c r="T66" i="1" s="1"/>
  <c r="V66" i="1" s="1"/>
  <c r="S65" i="1"/>
  <c r="T65" i="1" s="1"/>
  <c r="S64" i="1"/>
  <c r="T64" i="1" s="1"/>
  <c r="S63" i="1"/>
  <c r="T63" i="1" s="1"/>
  <c r="S62" i="1"/>
  <c r="T62" i="1" s="1"/>
  <c r="S61" i="1"/>
  <c r="T61" i="1" s="1"/>
  <c r="V61" i="1" s="1"/>
  <c r="S60" i="1"/>
  <c r="T60" i="1" s="1"/>
  <c r="S59" i="1"/>
  <c r="T59" i="1" s="1"/>
  <c r="S58" i="1"/>
  <c r="T58" i="1" s="1"/>
  <c r="V58" i="1" s="1"/>
  <c r="S57" i="1"/>
  <c r="T57" i="1" s="1"/>
  <c r="S56" i="1"/>
  <c r="T56" i="1" s="1"/>
  <c r="S55" i="1"/>
  <c r="T55" i="1" s="1"/>
  <c r="S54" i="1"/>
  <c r="T54" i="1" s="1"/>
  <c r="V54" i="1" s="1"/>
  <c r="S53" i="1"/>
  <c r="T53" i="1" s="1"/>
  <c r="V53" i="1" s="1"/>
  <c r="S52" i="1"/>
  <c r="T52" i="1" s="1"/>
  <c r="S51" i="1"/>
  <c r="T51" i="1" s="1"/>
  <c r="S50" i="1"/>
  <c r="T50" i="1" s="1"/>
  <c r="S49" i="1"/>
  <c r="T49" i="1" s="1"/>
  <c r="S48" i="1"/>
  <c r="T48" i="1" s="1"/>
  <c r="W48" i="1" s="1"/>
  <c r="S47" i="1"/>
  <c r="T47" i="1" s="1"/>
  <c r="S46" i="1"/>
  <c r="T46" i="1" s="1"/>
  <c r="S45" i="1"/>
  <c r="T45" i="1" s="1"/>
  <c r="S44" i="1"/>
  <c r="T44" i="1" s="1"/>
  <c r="W44" i="1" s="1"/>
  <c r="S43" i="1"/>
  <c r="T43" i="1" s="1"/>
  <c r="S42" i="1"/>
  <c r="T42" i="1" s="1"/>
  <c r="S41" i="1"/>
  <c r="T41" i="1" s="1"/>
  <c r="W41" i="1" s="1"/>
  <c r="S40" i="1"/>
  <c r="T40" i="1" s="1"/>
  <c r="S39" i="1"/>
  <c r="T39" i="1" s="1"/>
  <c r="S38" i="1"/>
  <c r="T38" i="1" s="1"/>
  <c r="S37" i="1"/>
  <c r="T37" i="1" s="1"/>
  <c r="W37" i="1" s="1"/>
  <c r="S36" i="1"/>
  <c r="T36" i="1" s="1"/>
  <c r="U36" i="1" s="1"/>
  <c r="S35" i="1"/>
  <c r="T35" i="1" s="1"/>
  <c r="S34" i="1"/>
  <c r="T34" i="1" s="1"/>
  <c r="S33" i="1"/>
  <c r="T33" i="1" s="1"/>
  <c r="W33" i="1" s="1"/>
  <c r="S32" i="1"/>
  <c r="T32" i="1" s="1"/>
  <c r="S31" i="1"/>
  <c r="T31" i="1" s="1"/>
  <c r="D31" i="1"/>
  <c r="S30" i="1"/>
  <c r="T30" i="1" s="1"/>
  <c r="W30" i="1" s="1"/>
  <c r="G30" i="1"/>
  <c r="S29" i="1"/>
  <c r="T29" i="1" s="1"/>
  <c r="W29" i="1" s="1"/>
  <c r="S28" i="1"/>
  <c r="T28" i="1" s="1"/>
  <c r="W28" i="1" s="1"/>
  <c r="S27" i="1"/>
  <c r="T27" i="1" s="1"/>
  <c r="S26" i="1"/>
  <c r="T26" i="1" s="1"/>
  <c r="S25" i="1"/>
  <c r="T25" i="1" s="1"/>
  <c r="S24" i="1"/>
  <c r="T24" i="1" s="1"/>
  <c r="U24" i="1" s="1"/>
  <c r="S23" i="1"/>
  <c r="T23" i="1" s="1"/>
  <c r="S22" i="1"/>
  <c r="T22" i="1" s="1"/>
  <c r="D22" i="1"/>
  <c r="S21" i="1"/>
  <c r="T21" i="1" s="1"/>
  <c r="S20" i="1"/>
  <c r="T20" i="1" s="1"/>
  <c r="S19" i="1"/>
  <c r="T19" i="1" s="1"/>
  <c r="S18" i="1"/>
  <c r="T18" i="1" s="1"/>
  <c r="S17" i="1"/>
  <c r="T17" i="1" s="1"/>
  <c r="S16" i="1"/>
  <c r="T16" i="1" s="1"/>
  <c r="W16" i="1" s="1"/>
  <c r="S15" i="1"/>
  <c r="T15" i="1" s="1"/>
  <c r="U15" i="1" s="1"/>
  <c r="S14" i="1"/>
  <c r="T14" i="1" s="1"/>
  <c r="S13" i="1"/>
  <c r="T13" i="1" s="1"/>
  <c r="G13" i="1"/>
  <c r="G14" i="1" s="1"/>
  <c r="G15" i="1" s="1"/>
  <c r="D15" i="1"/>
  <c r="D19" i="1" s="1"/>
  <c r="S12" i="1"/>
  <c r="T12" i="1" s="1"/>
  <c r="D11" i="1"/>
  <c r="G8" i="1"/>
  <c r="D8" i="1"/>
  <c r="L6" i="1"/>
  <c r="L21" i="1" s="1"/>
  <c r="W5" i="1"/>
  <c r="W6" i="1" s="1"/>
  <c r="L5" i="1"/>
  <c r="L4" i="1"/>
  <c r="L3" i="1"/>
  <c r="W332" i="1" l="1"/>
  <c r="V207" i="1"/>
  <c r="W312" i="1"/>
  <c r="G51" i="6"/>
  <c r="B28" i="2"/>
  <c r="B29" i="2" s="1"/>
  <c r="B30" i="2" s="1"/>
  <c r="U21" i="1"/>
  <c r="W21" i="1"/>
  <c r="V21" i="1"/>
  <c r="U186" i="1"/>
  <c r="W316" i="1"/>
  <c r="W186" i="1"/>
  <c r="W192" i="1"/>
  <c r="V204" i="1"/>
  <c r="U332" i="1"/>
  <c r="V200" i="1"/>
  <c r="W204" i="1"/>
  <c r="V188" i="1"/>
  <c r="W200" i="1"/>
  <c r="W227" i="1"/>
  <c r="W299" i="1"/>
  <c r="W320" i="1"/>
  <c r="E52" i="6"/>
  <c r="F52" i="6" s="1"/>
  <c r="C52" i="6"/>
  <c r="D52" i="6" s="1"/>
  <c r="W123" i="1"/>
  <c r="U171" i="1"/>
  <c r="V178" i="1"/>
  <c r="W196" i="1"/>
  <c r="I53" i="6"/>
  <c r="J53" i="6" s="1"/>
  <c r="A54" i="6"/>
  <c r="L22" i="1"/>
  <c r="U348" i="1"/>
  <c r="W348" i="1"/>
  <c r="W51" i="1"/>
  <c r="V51" i="1"/>
  <c r="U51" i="1"/>
  <c r="U73" i="1"/>
  <c r="V73" i="1"/>
  <c r="W79" i="1"/>
  <c r="V79" i="1"/>
  <c r="U79" i="1"/>
  <c r="U222" i="1"/>
  <c r="V222" i="1"/>
  <c r="V260" i="1"/>
  <c r="W260" i="1"/>
  <c r="U368" i="1"/>
  <c r="W368" i="1"/>
  <c r="V368" i="1"/>
  <c r="W71" i="1"/>
  <c r="U71" i="1"/>
  <c r="V71" i="1"/>
  <c r="V98" i="1"/>
  <c r="U98" i="1"/>
  <c r="W251" i="1"/>
  <c r="V251" i="1"/>
  <c r="U251" i="1"/>
  <c r="U107" i="1"/>
  <c r="W107" i="1"/>
  <c r="V107" i="1"/>
  <c r="V367" i="1"/>
  <c r="U367" i="1"/>
  <c r="W59" i="1"/>
  <c r="U59" i="1"/>
  <c r="V59" i="1"/>
  <c r="W67" i="1"/>
  <c r="V67" i="1"/>
  <c r="U67" i="1"/>
  <c r="U87" i="1"/>
  <c r="W87" i="1"/>
  <c r="U138" i="1"/>
  <c r="V138" i="1"/>
  <c r="V179" i="1"/>
  <c r="U179" i="1"/>
  <c r="W343" i="1"/>
  <c r="V343" i="1"/>
  <c r="U343" i="1"/>
  <c r="U351" i="1"/>
  <c r="W351" i="1"/>
  <c r="V351" i="1"/>
  <c r="W31" i="1"/>
  <c r="V31" i="1"/>
  <c r="V102" i="1"/>
  <c r="W102" i="1"/>
  <c r="U102" i="1"/>
  <c r="V110" i="1"/>
  <c r="W110" i="1"/>
  <c r="U110" i="1"/>
  <c r="V118" i="1"/>
  <c r="W118" i="1"/>
  <c r="U118" i="1"/>
  <c r="W239" i="1"/>
  <c r="V239" i="1"/>
  <c r="U239" i="1"/>
  <c r="W247" i="1"/>
  <c r="V247" i="1"/>
  <c r="U247" i="1"/>
  <c r="V268" i="1"/>
  <c r="W268" i="1"/>
  <c r="U302" i="1"/>
  <c r="W302" i="1"/>
  <c r="V106" i="1"/>
  <c r="U106" i="1"/>
  <c r="W106" i="1"/>
  <c r="W259" i="1"/>
  <c r="V259" i="1"/>
  <c r="U259" i="1"/>
  <c r="W75" i="1"/>
  <c r="V75" i="1"/>
  <c r="U75" i="1"/>
  <c r="U95" i="1"/>
  <c r="W95" i="1"/>
  <c r="V95" i="1"/>
  <c r="U103" i="1"/>
  <c r="W103" i="1"/>
  <c r="V103" i="1"/>
  <c r="U111" i="1"/>
  <c r="W111" i="1"/>
  <c r="V111" i="1"/>
  <c r="V133" i="1"/>
  <c r="U133" i="1"/>
  <c r="V147" i="1"/>
  <c r="U147" i="1"/>
  <c r="W147" i="1"/>
  <c r="V248" i="1"/>
  <c r="W248" i="1"/>
  <c r="V255" i="1"/>
  <c r="U255" i="1"/>
  <c r="W255" i="1"/>
  <c r="W269" i="1"/>
  <c r="V269" i="1"/>
  <c r="U269" i="1"/>
  <c r="W85" i="1"/>
  <c r="U85" i="1"/>
  <c r="V114" i="1"/>
  <c r="W114" i="1"/>
  <c r="U114" i="1"/>
  <c r="U235" i="1"/>
  <c r="W235" i="1"/>
  <c r="V235" i="1"/>
  <c r="U355" i="1"/>
  <c r="V355" i="1"/>
  <c r="W355" i="1"/>
  <c r="U99" i="1"/>
  <c r="W99" i="1"/>
  <c r="V99" i="1"/>
  <c r="V12" i="1"/>
  <c r="W12" i="1"/>
  <c r="U12" i="1"/>
  <c r="W39" i="1"/>
  <c r="V39" i="1"/>
  <c r="W47" i="1"/>
  <c r="V47" i="1"/>
  <c r="U47" i="1"/>
  <c r="U69" i="1"/>
  <c r="V69" i="1"/>
  <c r="U83" i="1"/>
  <c r="V83" i="1"/>
  <c r="W83" i="1"/>
  <c r="V155" i="1"/>
  <c r="U155" i="1"/>
  <c r="W155" i="1"/>
  <c r="V187" i="1"/>
  <c r="W187" i="1"/>
  <c r="U187" i="1"/>
  <c r="V218" i="1"/>
  <c r="U218" i="1"/>
  <c r="W218" i="1"/>
  <c r="W226" i="1"/>
  <c r="V226" i="1"/>
  <c r="U226" i="1"/>
  <c r="V256" i="1"/>
  <c r="W256" i="1"/>
  <c r="U91" i="1"/>
  <c r="W91" i="1"/>
  <c r="V91" i="1"/>
  <c r="U122" i="1"/>
  <c r="W122" i="1"/>
  <c r="V122" i="1"/>
  <c r="U243" i="1"/>
  <c r="W243" i="1"/>
  <c r="V243" i="1"/>
  <c r="U306" i="1"/>
  <c r="W306" i="1"/>
  <c r="V306" i="1"/>
  <c r="W35" i="1"/>
  <c r="V35" i="1"/>
  <c r="U35" i="1"/>
  <c r="U115" i="1"/>
  <c r="W115" i="1"/>
  <c r="V115" i="1"/>
  <c r="W213" i="1"/>
  <c r="V213" i="1"/>
  <c r="U213" i="1"/>
  <c r="V244" i="1"/>
  <c r="W244" i="1"/>
  <c r="W43" i="1"/>
  <c r="V43" i="1"/>
  <c r="U43" i="1"/>
  <c r="W55" i="1"/>
  <c r="V55" i="1"/>
  <c r="U55" i="1"/>
  <c r="W63" i="1"/>
  <c r="V63" i="1"/>
  <c r="U63" i="1"/>
  <c r="V163" i="1"/>
  <c r="W163" i="1"/>
  <c r="U163" i="1"/>
  <c r="V347" i="1"/>
  <c r="W347" i="1"/>
  <c r="U347" i="1"/>
  <c r="U372" i="1"/>
  <c r="W372" i="1"/>
  <c r="V372" i="1"/>
  <c r="V280" i="1"/>
  <c r="V352" i="1"/>
  <c r="W15" i="1"/>
  <c r="W90" i="1"/>
  <c r="U97" i="1"/>
  <c r="U124" i="1"/>
  <c r="V172" i="1"/>
  <c r="V238" i="1"/>
  <c r="W339" i="1"/>
  <c r="W363" i="1"/>
  <c r="V77" i="1"/>
  <c r="V86" i="1"/>
  <c r="V124" i="1"/>
  <c r="W137" i="1"/>
  <c r="V161" i="1"/>
  <c r="U363" i="1"/>
  <c r="U128" i="1"/>
  <c r="U132" i="1"/>
  <c r="V170" i="1"/>
  <c r="V180" i="1"/>
  <c r="U263" i="1"/>
  <c r="U288" i="1"/>
  <c r="V292" i="1"/>
  <c r="W356" i="1"/>
  <c r="V360" i="1"/>
  <c r="U172" i="1"/>
  <c r="W252" i="1"/>
  <c r="U16" i="1"/>
  <c r="V128" i="1"/>
  <c r="U136" i="1"/>
  <c r="U178" i="1"/>
  <c r="V263" i="1"/>
  <c r="U272" i="1"/>
  <c r="V288" i="1"/>
  <c r="W264" i="1"/>
  <c r="V16" i="1"/>
  <c r="V136" i="1"/>
  <c r="U284" i="1"/>
  <c r="U324" i="1"/>
  <c r="V15" i="1"/>
  <c r="U90" i="1"/>
  <c r="W171" i="1"/>
  <c r="W174" i="1"/>
  <c r="W188" i="1"/>
  <c r="V192" i="1"/>
  <c r="V196" i="1"/>
  <c r="W207" i="1"/>
  <c r="V227" i="1"/>
  <c r="V284" i="1"/>
  <c r="V316" i="1"/>
  <c r="V320" i="1"/>
  <c r="V324" i="1"/>
  <c r="L11" i="1"/>
  <c r="W7" i="1"/>
  <c r="W8" i="1" s="1"/>
  <c r="AE12" i="1" s="1"/>
  <c r="W4" i="1"/>
  <c r="Y269" i="1" s="1"/>
  <c r="AM269" i="1" s="1"/>
  <c r="G18" i="1"/>
  <c r="G28" i="1" s="1"/>
  <c r="G16" i="1"/>
  <c r="G17" i="1" s="1"/>
  <c r="U38" i="1"/>
  <c r="W38" i="1"/>
  <c r="V38" i="1"/>
  <c r="W14" i="1"/>
  <c r="V14" i="1"/>
  <c r="U14" i="1"/>
  <c r="W13" i="1"/>
  <c r="U13" i="1"/>
  <c r="V13" i="1"/>
  <c r="U17" i="1"/>
  <c r="W17" i="1"/>
  <c r="V17" i="1"/>
  <c r="U25" i="1"/>
  <c r="W25" i="1"/>
  <c r="V25" i="1"/>
  <c r="U32" i="1"/>
  <c r="W32" i="1"/>
  <c r="V32" i="1"/>
  <c r="W50" i="1"/>
  <c r="U50" i="1"/>
  <c r="V50" i="1"/>
  <c r="W18" i="1"/>
  <c r="V18" i="1"/>
  <c r="U18" i="1"/>
  <c r="U26" i="1"/>
  <c r="W26" i="1"/>
  <c r="V26" i="1"/>
  <c r="U40" i="1"/>
  <c r="W40" i="1"/>
  <c r="V40" i="1"/>
  <c r="W19" i="1"/>
  <c r="V19" i="1"/>
  <c r="U19" i="1"/>
  <c r="U27" i="1"/>
  <c r="V27" i="1"/>
  <c r="W27" i="1"/>
  <c r="U22" i="1"/>
  <c r="W22" i="1"/>
  <c r="V22" i="1"/>
  <c r="U42" i="1"/>
  <c r="W42" i="1"/>
  <c r="V42" i="1"/>
  <c r="U23" i="1"/>
  <c r="V23" i="1"/>
  <c r="W23" i="1"/>
  <c r="W46" i="1"/>
  <c r="U46" i="1"/>
  <c r="V46" i="1"/>
  <c r="D18" i="1"/>
  <c r="D28" i="1" s="1"/>
  <c r="D20" i="1"/>
  <c r="D16" i="1"/>
  <c r="D17" i="1" s="1"/>
  <c r="U20" i="1"/>
  <c r="W20" i="1"/>
  <c r="V20" i="1"/>
  <c r="U34" i="1"/>
  <c r="V34" i="1"/>
  <c r="W34" i="1"/>
  <c r="W89" i="1"/>
  <c r="V89" i="1"/>
  <c r="V177" i="1"/>
  <c r="W177" i="1"/>
  <c r="U177" i="1"/>
  <c r="W68" i="1"/>
  <c r="V68" i="1"/>
  <c r="U68" i="1"/>
  <c r="W82" i="1"/>
  <c r="V82" i="1"/>
  <c r="U82" i="1"/>
  <c r="W93" i="1"/>
  <c r="V93" i="1"/>
  <c r="U93" i="1"/>
  <c r="W101" i="1"/>
  <c r="V101" i="1"/>
  <c r="U101" i="1"/>
  <c r="W108" i="1"/>
  <c r="V108" i="1"/>
  <c r="U108" i="1"/>
  <c r="U131" i="1"/>
  <c r="W131" i="1"/>
  <c r="V131" i="1"/>
  <c r="U37" i="1"/>
  <c r="W64" i="1"/>
  <c r="V64" i="1"/>
  <c r="U64" i="1"/>
  <c r="W72" i="1"/>
  <c r="V72" i="1"/>
  <c r="U72" i="1"/>
  <c r="W80" i="1"/>
  <c r="V80" i="1"/>
  <c r="U80" i="1"/>
  <c r="W109" i="1"/>
  <c r="V109" i="1"/>
  <c r="U109" i="1"/>
  <c r="W116" i="1"/>
  <c r="V116" i="1"/>
  <c r="U116" i="1"/>
  <c r="V30" i="1"/>
  <c r="U28" i="1"/>
  <c r="O29" i="1"/>
  <c r="V37" i="1"/>
  <c r="U45" i="1"/>
  <c r="W45" i="1"/>
  <c r="U49" i="1"/>
  <c r="W49" i="1"/>
  <c r="W60" i="1"/>
  <c r="V60" i="1"/>
  <c r="U60" i="1"/>
  <c r="U65" i="1"/>
  <c r="W65" i="1"/>
  <c r="W96" i="1"/>
  <c r="V96" i="1"/>
  <c r="U96" i="1"/>
  <c r="W117" i="1"/>
  <c r="V117" i="1"/>
  <c r="U117" i="1"/>
  <c r="W100" i="1"/>
  <c r="V100" i="1"/>
  <c r="U100" i="1"/>
  <c r="W139" i="1"/>
  <c r="U139" i="1"/>
  <c r="V139" i="1"/>
  <c r="U30" i="1"/>
  <c r="U89" i="1"/>
  <c r="W24" i="1"/>
  <c r="W36" i="1"/>
  <c r="V28" i="1"/>
  <c r="U31" i="1"/>
  <c r="U39" i="1"/>
  <c r="V45" i="1"/>
  <c r="V49" i="1"/>
  <c r="W56" i="1"/>
  <c r="V56" i="1"/>
  <c r="U56" i="1"/>
  <c r="U61" i="1"/>
  <c r="W61" i="1"/>
  <c r="V65" i="1"/>
  <c r="W66" i="1"/>
  <c r="U66" i="1"/>
  <c r="W52" i="1"/>
  <c r="V52" i="1"/>
  <c r="U52" i="1"/>
  <c r="U57" i="1"/>
  <c r="W57" i="1"/>
  <c r="W62" i="1"/>
  <c r="U62" i="1"/>
  <c r="V81" i="1"/>
  <c r="U81" i="1"/>
  <c r="W88" i="1"/>
  <c r="U88" i="1"/>
  <c r="L31" i="1"/>
  <c r="U29" i="1"/>
  <c r="O30" i="1"/>
  <c r="U33" i="1"/>
  <c r="U41" i="1"/>
  <c r="U53" i="1"/>
  <c r="W53" i="1"/>
  <c r="V57" i="1"/>
  <c r="W58" i="1"/>
  <c r="U58" i="1"/>
  <c r="V62" i="1"/>
  <c r="W76" i="1"/>
  <c r="V76" i="1"/>
  <c r="U76" i="1"/>
  <c r="W81" i="1"/>
  <c r="V88" i="1"/>
  <c r="V24" i="1"/>
  <c r="V36" i="1"/>
  <c r="V29" i="1"/>
  <c r="V33" i="1"/>
  <c r="V41" i="1"/>
  <c r="V44" i="1"/>
  <c r="U44" i="1"/>
  <c r="V48" i="1"/>
  <c r="U48" i="1"/>
  <c r="W54" i="1"/>
  <c r="U54" i="1"/>
  <c r="W69" i="1"/>
  <c r="W73" i="1"/>
  <c r="W77" i="1"/>
  <c r="V97" i="1"/>
  <c r="U119" i="1"/>
  <c r="W119" i="1"/>
  <c r="V119" i="1"/>
  <c r="W189" i="1"/>
  <c r="V189" i="1"/>
  <c r="U189" i="1"/>
  <c r="U127" i="1"/>
  <c r="W127" i="1"/>
  <c r="V129" i="1"/>
  <c r="W129" i="1"/>
  <c r="U129" i="1"/>
  <c r="V141" i="1"/>
  <c r="U141" i="1"/>
  <c r="W141" i="1"/>
  <c r="W150" i="1"/>
  <c r="V150" i="1"/>
  <c r="U150" i="1"/>
  <c r="W165" i="1"/>
  <c r="U165" i="1"/>
  <c r="V165" i="1"/>
  <c r="W84" i="1"/>
  <c r="U84" i="1"/>
  <c r="W144" i="1"/>
  <c r="V144" i="1"/>
  <c r="U144" i="1"/>
  <c r="V154" i="1"/>
  <c r="U154" i="1"/>
  <c r="W197" i="1"/>
  <c r="V197" i="1"/>
  <c r="U197" i="1"/>
  <c r="W104" i="1"/>
  <c r="V104" i="1"/>
  <c r="U104" i="1"/>
  <c r="W105" i="1"/>
  <c r="V105" i="1"/>
  <c r="W112" i="1"/>
  <c r="V112" i="1"/>
  <c r="U112" i="1"/>
  <c r="W113" i="1"/>
  <c r="V113" i="1"/>
  <c r="W126" i="1"/>
  <c r="U126" i="1"/>
  <c r="U146" i="1"/>
  <c r="W146" i="1"/>
  <c r="V166" i="1"/>
  <c r="W166" i="1"/>
  <c r="U166" i="1"/>
  <c r="V175" i="1"/>
  <c r="U175" i="1"/>
  <c r="W175" i="1"/>
  <c r="U70" i="1"/>
  <c r="U74" i="1"/>
  <c r="U78" i="1"/>
  <c r="V85" i="1"/>
  <c r="U86" i="1"/>
  <c r="U94" i="1"/>
  <c r="W98" i="1"/>
  <c r="U105" i="1"/>
  <c r="U113" i="1"/>
  <c r="V125" i="1"/>
  <c r="W125" i="1"/>
  <c r="V126" i="1"/>
  <c r="W135" i="1"/>
  <c r="U135" i="1"/>
  <c r="V146" i="1"/>
  <c r="W159" i="1"/>
  <c r="V159" i="1"/>
  <c r="U159" i="1"/>
  <c r="V70" i="1"/>
  <c r="V74" i="1"/>
  <c r="V78" i="1"/>
  <c r="W92" i="1"/>
  <c r="V92" i="1"/>
  <c r="U92" i="1"/>
  <c r="W94" i="1"/>
  <c r="W143" i="1"/>
  <c r="U143" i="1"/>
  <c r="W149" i="1"/>
  <c r="U149" i="1"/>
  <c r="V87" i="1"/>
  <c r="V121" i="1"/>
  <c r="W121" i="1"/>
  <c r="U121" i="1"/>
  <c r="V123" i="1"/>
  <c r="V143" i="1"/>
  <c r="V149" i="1"/>
  <c r="W153" i="1"/>
  <c r="V153" i="1"/>
  <c r="W167" i="1"/>
  <c r="U167" i="1"/>
  <c r="V167" i="1"/>
  <c r="W225" i="1"/>
  <c r="V225" i="1"/>
  <c r="U225" i="1"/>
  <c r="W182" i="1"/>
  <c r="V182" i="1"/>
  <c r="U182" i="1"/>
  <c r="V195" i="1"/>
  <c r="W195" i="1"/>
  <c r="U195" i="1"/>
  <c r="W208" i="1"/>
  <c r="V208" i="1"/>
  <c r="U208" i="1"/>
  <c r="W221" i="1"/>
  <c r="V221" i="1"/>
  <c r="U221" i="1"/>
  <c r="U176" i="1"/>
  <c r="V176" i="1"/>
  <c r="W202" i="1"/>
  <c r="U202" i="1"/>
  <c r="V202" i="1"/>
  <c r="W234" i="1"/>
  <c r="V234" i="1"/>
  <c r="U234" i="1"/>
  <c r="U120" i="1"/>
  <c r="U130" i="1"/>
  <c r="V134" i="1"/>
  <c r="U140" i="1"/>
  <c r="W142" i="1"/>
  <c r="U142" i="1"/>
  <c r="U151" i="1"/>
  <c r="V162" i="1"/>
  <c r="U162" i="1"/>
  <c r="U164" i="1"/>
  <c r="V164" i="1"/>
  <c r="V169" i="1"/>
  <c r="U169" i="1"/>
  <c r="W176" i="1"/>
  <c r="V120" i="1"/>
  <c r="V130" i="1"/>
  <c r="W134" i="1"/>
  <c r="V140" i="1"/>
  <c r="U148" i="1"/>
  <c r="V148" i="1"/>
  <c r="W151" i="1"/>
  <c r="U152" i="1"/>
  <c r="W152" i="1"/>
  <c r="U156" i="1"/>
  <c r="V156" i="1"/>
  <c r="W157" i="1"/>
  <c r="U157" i="1"/>
  <c r="V158" i="1"/>
  <c r="W158" i="1"/>
  <c r="U160" i="1"/>
  <c r="W160" i="1"/>
  <c r="V160" i="1"/>
  <c r="V181" i="1"/>
  <c r="W181" i="1"/>
  <c r="U181" i="1"/>
  <c r="V183" i="1"/>
  <c r="W183" i="1"/>
  <c r="U183" i="1"/>
  <c r="W194" i="1"/>
  <c r="U194" i="1"/>
  <c r="V194" i="1"/>
  <c r="V132" i="1"/>
  <c r="W133" i="1"/>
  <c r="U137" i="1"/>
  <c r="W138" i="1"/>
  <c r="W145" i="1"/>
  <c r="U145" i="1"/>
  <c r="W148" i="1"/>
  <c r="V152" i="1"/>
  <c r="W156" i="1"/>
  <c r="V157" i="1"/>
  <c r="U158" i="1"/>
  <c r="U168" i="1"/>
  <c r="W168" i="1"/>
  <c r="W205" i="1"/>
  <c r="V205" i="1"/>
  <c r="U205" i="1"/>
  <c r="V203" i="1"/>
  <c r="W203" i="1"/>
  <c r="U203" i="1"/>
  <c r="W170" i="1"/>
  <c r="W198" i="1"/>
  <c r="U198" i="1"/>
  <c r="V199" i="1"/>
  <c r="W199" i="1"/>
  <c r="W201" i="1"/>
  <c r="V201" i="1"/>
  <c r="V173" i="1"/>
  <c r="W173" i="1"/>
  <c r="W190" i="1"/>
  <c r="U190" i="1"/>
  <c r="V191" i="1"/>
  <c r="W191" i="1"/>
  <c r="W193" i="1"/>
  <c r="V193" i="1"/>
  <c r="W179" i="1"/>
  <c r="W241" i="1"/>
  <c r="U241" i="1"/>
  <c r="V241" i="1"/>
  <c r="U161" i="1"/>
  <c r="U174" i="1"/>
  <c r="U180" i="1"/>
  <c r="V214" i="1"/>
  <c r="U214" i="1"/>
  <c r="W214" i="1"/>
  <c r="V184" i="1"/>
  <c r="U184" i="1"/>
  <c r="V185" i="1"/>
  <c r="U185" i="1"/>
  <c r="W206" i="1"/>
  <c r="U206" i="1"/>
  <c r="W250" i="1"/>
  <c r="V250" i="1"/>
  <c r="U250" i="1"/>
  <c r="W209" i="1"/>
  <c r="U209" i="1"/>
  <c r="U215" i="1"/>
  <c r="W215" i="1"/>
  <c r="U219" i="1"/>
  <c r="W219" i="1"/>
  <c r="V219" i="1"/>
  <c r="W220" i="1"/>
  <c r="V220" i="1"/>
  <c r="U220" i="1"/>
  <c r="W222" i="1"/>
  <c r="W210" i="1"/>
  <c r="V210" i="1"/>
  <c r="W254" i="1"/>
  <c r="V254" i="1"/>
  <c r="W216" i="1"/>
  <c r="V216" i="1"/>
  <c r="U216" i="1"/>
  <c r="U231" i="1"/>
  <c r="V231" i="1"/>
  <c r="W237" i="1"/>
  <c r="U237" i="1"/>
  <c r="V237" i="1"/>
  <c r="V240" i="1"/>
  <c r="U240" i="1"/>
  <c r="W246" i="1"/>
  <c r="V246" i="1"/>
  <c r="V211" i="1"/>
  <c r="W212" i="1"/>
  <c r="V212" i="1"/>
  <c r="U212" i="1"/>
  <c r="W217" i="1"/>
  <c r="V217" i="1"/>
  <c r="W229" i="1"/>
  <c r="V229" i="1"/>
  <c r="V230" i="1"/>
  <c r="U230" i="1"/>
  <c r="W231" i="1"/>
  <c r="W240" i="1"/>
  <c r="U246" i="1"/>
  <c r="W211" i="1"/>
  <c r="U217" i="1"/>
  <c r="U229" i="1"/>
  <c r="W230" i="1"/>
  <c r="W224" i="1"/>
  <c r="V224" i="1"/>
  <c r="U224" i="1"/>
  <c r="W242" i="1"/>
  <c r="V242" i="1"/>
  <c r="U242" i="1"/>
  <c r="W258" i="1"/>
  <c r="V258" i="1"/>
  <c r="U258" i="1"/>
  <c r="W262" i="1"/>
  <c r="V262" i="1"/>
  <c r="U262" i="1"/>
  <c r="U223" i="1"/>
  <c r="W223" i="1"/>
  <c r="V223" i="1"/>
  <c r="U238" i="1"/>
  <c r="W265" i="1"/>
  <c r="V265" i="1"/>
  <c r="U265" i="1"/>
  <c r="W283" i="1"/>
  <c r="V283" i="1"/>
  <c r="U283" i="1"/>
  <c r="W261" i="1"/>
  <c r="V261" i="1"/>
  <c r="U261" i="1"/>
  <c r="W228" i="1"/>
  <c r="V228" i="1"/>
  <c r="U228" i="1"/>
  <c r="W233" i="1"/>
  <c r="U233" i="1"/>
  <c r="V233" i="1"/>
  <c r="W253" i="1"/>
  <c r="V253" i="1"/>
  <c r="U253" i="1"/>
  <c r="W293" i="1"/>
  <c r="V293" i="1"/>
  <c r="W245" i="1"/>
  <c r="V245" i="1"/>
  <c r="U245" i="1"/>
  <c r="W279" i="1"/>
  <c r="V279" i="1"/>
  <c r="U279" i="1"/>
  <c r="W249" i="1"/>
  <c r="V249" i="1"/>
  <c r="U249" i="1"/>
  <c r="W291" i="1"/>
  <c r="V291" i="1"/>
  <c r="U291" i="1"/>
  <c r="W297" i="1"/>
  <c r="V297" i="1"/>
  <c r="V232" i="1"/>
  <c r="U297" i="1"/>
  <c r="W301" i="1"/>
  <c r="V301" i="1"/>
  <c r="U301" i="1"/>
  <c r="V328" i="1"/>
  <c r="W328" i="1"/>
  <c r="U328" i="1"/>
  <c r="W232" i="1"/>
  <c r="V236" i="1"/>
  <c r="U236" i="1"/>
  <c r="W257" i="1"/>
  <c r="V257" i="1"/>
  <c r="U257" i="1"/>
  <c r="W236" i="1"/>
  <c r="W266" i="1"/>
  <c r="V266" i="1"/>
  <c r="W287" i="1"/>
  <c r="V287" i="1"/>
  <c r="U287" i="1"/>
  <c r="W275" i="1"/>
  <c r="V275" i="1"/>
  <c r="U275" i="1"/>
  <c r="W314" i="1"/>
  <c r="V314" i="1"/>
  <c r="U314" i="1"/>
  <c r="V278" i="1"/>
  <c r="U278" i="1"/>
  <c r="W278" i="1"/>
  <c r="W304" i="1"/>
  <c r="V304" i="1"/>
  <c r="U304" i="1"/>
  <c r="V270" i="1"/>
  <c r="U270" i="1"/>
  <c r="V277" i="1"/>
  <c r="U277" i="1"/>
  <c r="V282" i="1"/>
  <c r="U282" i="1"/>
  <c r="W282" i="1"/>
  <c r="V310" i="1"/>
  <c r="U310" i="1"/>
  <c r="W310" i="1"/>
  <c r="W267" i="1"/>
  <c r="V267" i="1"/>
  <c r="W271" i="1"/>
  <c r="V271" i="1"/>
  <c r="U271" i="1"/>
  <c r="V281" i="1"/>
  <c r="U281" i="1"/>
  <c r="V286" i="1"/>
  <c r="U286" i="1"/>
  <c r="W286" i="1"/>
  <c r="W294" i="1"/>
  <c r="V294" i="1"/>
  <c r="U294" i="1"/>
  <c r="W319" i="1"/>
  <c r="V319" i="1"/>
  <c r="W338" i="1"/>
  <c r="V338" i="1"/>
  <c r="U338" i="1"/>
  <c r="U244" i="1"/>
  <c r="U248" i="1"/>
  <c r="U252" i="1"/>
  <c r="U256" i="1"/>
  <c r="U260" i="1"/>
  <c r="U264" i="1"/>
  <c r="U267" i="1"/>
  <c r="U268" i="1"/>
  <c r="V272" i="1"/>
  <c r="U273" i="1"/>
  <c r="U276" i="1"/>
  <c r="W281" i="1"/>
  <c r="V285" i="1"/>
  <c r="U285" i="1"/>
  <c r="V290" i="1"/>
  <c r="U290" i="1"/>
  <c r="W290" i="1"/>
  <c r="W296" i="1"/>
  <c r="V296" i="1"/>
  <c r="U296" i="1"/>
  <c r="W305" i="1"/>
  <c r="V305" i="1"/>
  <c r="U305" i="1"/>
  <c r="U319" i="1"/>
  <c r="W273" i="1"/>
  <c r="V274" i="1"/>
  <c r="U274" i="1"/>
  <c r="V276" i="1"/>
  <c r="U280" i="1"/>
  <c r="W285" i="1"/>
  <c r="V289" i="1"/>
  <c r="U289" i="1"/>
  <c r="W323" i="1"/>
  <c r="U323" i="1"/>
  <c r="V323" i="1"/>
  <c r="W322" i="1"/>
  <c r="V322" i="1"/>
  <c r="U322" i="1"/>
  <c r="W341" i="1"/>
  <c r="V341" i="1"/>
  <c r="U341" i="1"/>
  <c r="U344" i="1"/>
  <c r="W344" i="1"/>
  <c r="V344" i="1"/>
  <c r="U292" i="1"/>
  <c r="V299" i="1"/>
  <c r="V302" i="1"/>
  <c r="U303" i="1"/>
  <c r="W303" i="1"/>
  <c r="U307" i="1"/>
  <c r="W307" i="1"/>
  <c r="V307" i="1"/>
  <c r="W311" i="1"/>
  <c r="V311" i="1"/>
  <c r="W300" i="1"/>
  <c r="V300" i="1"/>
  <c r="U300" i="1"/>
  <c r="W334" i="1"/>
  <c r="V334" i="1"/>
  <c r="V295" i="1"/>
  <c r="U298" i="1"/>
  <c r="W309" i="1"/>
  <c r="V309" i="1"/>
  <c r="U334" i="1"/>
  <c r="W295" i="1"/>
  <c r="V298" i="1"/>
  <c r="U309" i="1"/>
  <c r="U313" i="1"/>
  <c r="W318" i="1"/>
  <c r="V318" i="1"/>
  <c r="U318" i="1"/>
  <c r="W326" i="1"/>
  <c r="V326" i="1"/>
  <c r="U326" i="1"/>
  <c r="W330" i="1"/>
  <c r="V330" i="1"/>
  <c r="U330" i="1"/>
  <c r="W308" i="1"/>
  <c r="V308" i="1"/>
  <c r="U308" i="1"/>
  <c r="W313" i="1"/>
  <c r="W315" i="1"/>
  <c r="V315" i="1"/>
  <c r="W359" i="1"/>
  <c r="U359" i="1"/>
  <c r="V359" i="1"/>
  <c r="V340" i="1"/>
  <c r="U340" i="1"/>
  <c r="W340" i="1"/>
  <c r="V325" i="1"/>
  <c r="U325" i="1"/>
  <c r="V342" i="1"/>
  <c r="U342" i="1"/>
  <c r="W342" i="1"/>
  <c r="U312" i="1"/>
  <c r="W325" i="1"/>
  <c r="U327" i="1"/>
  <c r="W331" i="1"/>
  <c r="V331" i="1"/>
  <c r="V317" i="1"/>
  <c r="U317" i="1"/>
  <c r="V321" i="1"/>
  <c r="U321" i="1"/>
  <c r="V327" i="1"/>
  <c r="V329" i="1"/>
  <c r="W329" i="1"/>
  <c r="U329" i="1"/>
  <c r="U331" i="1"/>
  <c r="W333" i="1"/>
  <c r="V333" i="1"/>
  <c r="U333" i="1"/>
  <c r="W337" i="1"/>
  <c r="V337" i="1"/>
  <c r="U337" i="1"/>
  <c r="W349" i="1"/>
  <c r="U349" i="1"/>
  <c r="V349" i="1"/>
  <c r="V336" i="1"/>
  <c r="U336" i="1"/>
  <c r="U339" i="1"/>
  <c r="W354" i="1"/>
  <c r="V354" i="1"/>
  <c r="W350" i="1"/>
  <c r="V350" i="1"/>
  <c r="U350" i="1"/>
  <c r="W361" i="1"/>
  <c r="U361" i="1"/>
  <c r="V361" i="1"/>
  <c r="U335" i="1"/>
  <c r="V335" i="1"/>
  <c r="W346" i="1"/>
  <c r="V346" i="1"/>
  <c r="U346" i="1"/>
  <c r="W358" i="1"/>
  <c r="V358" i="1"/>
  <c r="U358" i="1"/>
  <c r="W345" i="1"/>
  <c r="U345" i="1"/>
  <c r="W366" i="1"/>
  <c r="V366" i="1"/>
  <c r="W353" i="1"/>
  <c r="U353" i="1"/>
  <c r="W362" i="1"/>
  <c r="V362" i="1"/>
  <c r="V353" i="1"/>
  <c r="W357" i="1"/>
  <c r="U357" i="1"/>
  <c r="U362" i="1"/>
  <c r="V364" i="1"/>
  <c r="W369" i="1"/>
  <c r="U369" i="1"/>
  <c r="U371" i="1"/>
  <c r="V348" i="1"/>
  <c r="V357" i="1"/>
  <c r="W364" i="1"/>
  <c r="V369" i="1"/>
  <c r="W371" i="1"/>
  <c r="W365" i="1"/>
  <c r="U365" i="1"/>
  <c r="W352" i="1"/>
  <c r="V356" i="1"/>
  <c r="W360" i="1"/>
  <c r="V365" i="1"/>
  <c r="W367" i="1"/>
  <c r="W370" i="1"/>
  <c r="V370" i="1"/>
  <c r="G52" i="6" l="1"/>
  <c r="A55" i="6"/>
  <c r="I54" i="6"/>
  <c r="J54" i="6" s="1"/>
  <c r="C53" i="6"/>
  <c r="D53" i="6" s="1"/>
  <c r="E53" i="6"/>
  <c r="F53" i="6" s="1"/>
  <c r="D23" i="1"/>
  <c r="D24" i="1" s="1"/>
  <c r="X18" i="1"/>
  <c r="Y71" i="1"/>
  <c r="AM71" i="1" s="1"/>
  <c r="X41" i="1"/>
  <c r="X125" i="1"/>
  <c r="X14" i="1"/>
  <c r="AA285" i="1"/>
  <c r="Z299" i="1"/>
  <c r="Z70" i="1"/>
  <c r="Y73" i="1"/>
  <c r="AM73" i="1" s="1"/>
  <c r="Y369" i="1"/>
  <c r="AM369" i="1" s="1"/>
  <c r="Y366" i="1"/>
  <c r="AM366" i="1" s="1"/>
  <c r="X331" i="1"/>
  <c r="Z359" i="1"/>
  <c r="AB359" i="1" s="1"/>
  <c r="AL359" i="1" s="1"/>
  <c r="X313" i="1"/>
  <c r="Y344" i="1"/>
  <c r="AM344" i="1" s="1"/>
  <c r="Z281" i="1"/>
  <c r="AB281" i="1" s="1"/>
  <c r="AL281" i="1" s="1"/>
  <c r="Y281" i="1"/>
  <c r="AM281" i="1" s="1"/>
  <c r="Z314" i="1"/>
  <c r="AB314" i="1" s="1"/>
  <c r="AL314" i="1" s="1"/>
  <c r="X279" i="1"/>
  <c r="Y212" i="1"/>
  <c r="AM212" i="1" s="1"/>
  <c r="Z360" i="1"/>
  <c r="Z64" i="1"/>
  <c r="X131" i="1"/>
  <c r="Y67" i="1"/>
  <c r="AM67" i="1" s="1"/>
  <c r="Z228" i="1"/>
  <c r="Y25" i="1"/>
  <c r="AM25" i="1" s="1"/>
  <c r="Y370" i="1"/>
  <c r="AM370" i="1" s="1"/>
  <c r="Z365" i="1"/>
  <c r="Z369" i="1"/>
  <c r="X353" i="1"/>
  <c r="Z358" i="1"/>
  <c r="AB358" i="1" s="1"/>
  <c r="AL358" i="1" s="1"/>
  <c r="Z361" i="1"/>
  <c r="Y336" i="1"/>
  <c r="AM336" i="1" s="1"/>
  <c r="Y333" i="1"/>
  <c r="AM333" i="1" s="1"/>
  <c r="Y321" i="1"/>
  <c r="AM321" i="1" s="1"/>
  <c r="Z342" i="1"/>
  <c r="AB342" i="1" s="1"/>
  <c r="AL342" i="1" s="1"/>
  <c r="Y359" i="1"/>
  <c r="AM359" i="1" s="1"/>
  <c r="Z308" i="1"/>
  <c r="Y318" i="1"/>
  <c r="AM318" i="1" s="1"/>
  <c r="Z21" i="1"/>
  <c r="AB21" i="1" s="1"/>
  <c r="AL21" i="1" s="1"/>
  <c r="AA74" i="1"/>
  <c r="Z110" i="1"/>
  <c r="AB110" i="1" s="1"/>
  <c r="AL110" i="1" s="1"/>
  <c r="Y343" i="1"/>
  <c r="AM343" i="1" s="1"/>
  <c r="Z370" i="1"/>
  <c r="AB370" i="1" s="1"/>
  <c r="AL370" i="1" s="1"/>
  <c r="Z371" i="1"/>
  <c r="AB371" i="1" s="1"/>
  <c r="AL371" i="1" s="1"/>
  <c r="Y364" i="1"/>
  <c r="AM364" i="1" s="1"/>
  <c r="X346" i="1"/>
  <c r="X350" i="1"/>
  <c r="Y349" i="1"/>
  <c r="AM349" i="1" s="1"/>
  <c r="Z333" i="1"/>
  <c r="AB333" i="1" s="1"/>
  <c r="AL333" i="1" s="1"/>
  <c r="X317" i="1"/>
  <c r="X342" i="1"/>
  <c r="X44" i="1"/>
  <c r="X51" i="1"/>
  <c r="AA119" i="1"/>
  <c r="AA135" i="1"/>
  <c r="X349" i="1"/>
  <c r="X296" i="1"/>
  <c r="X328" i="1"/>
  <c r="Y265" i="1"/>
  <c r="AM265" i="1" s="1"/>
  <c r="Y224" i="1"/>
  <c r="AM224" i="1" s="1"/>
  <c r="Z231" i="1"/>
  <c r="AB231" i="1" s="1"/>
  <c r="AL231" i="1" s="1"/>
  <c r="Z250" i="1"/>
  <c r="AB250" i="1" s="1"/>
  <c r="AL250" i="1" s="1"/>
  <c r="X214" i="1"/>
  <c r="Y173" i="1"/>
  <c r="AM173" i="1" s="1"/>
  <c r="X203" i="1"/>
  <c r="X158" i="1"/>
  <c r="X137" i="1"/>
  <c r="Y183" i="1"/>
  <c r="AM183" i="1" s="1"/>
  <c r="Y158" i="1"/>
  <c r="AM158" i="1" s="1"/>
  <c r="Y148" i="1"/>
  <c r="AM148" i="1" s="1"/>
  <c r="Y169" i="1"/>
  <c r="AM169" i="1" s="1"/>
  <c r="X140" i="1"/>
  <c r="X202" i="1"/>
  <c r="Y208" i="1"/>
  <c r="AM208" i="1" s="1"/>
  <c r="X225" i="1"/>
  <c r="Y149" i="1"/>
  <c r="AM149" i="1" s="1"/>
  <c r="Z149" i="1"/>
  <c r="Y74" i="1"/>
  <c r="AM74" i="1" s="1"/>
  <c r="Y126" i="1"/>
  <c r="AM126" i="1" s="1"/>
  <c r="Y85" i="1"/>
  <c r="AM85" i="1" s="1"/>
  <c r="Z166" i="1"/>
  <c r="AB166" i="1" s="1"/>
  <c r="AL166" i="1" s="1"/>
  <c r="X112" i="1"/>
  <c r="X197" i="1"/>
  <c r="X84" i="1"/>
  <c r="X189" i="1"/>
  <c r="Z73" i="1"/>
  <c r="AB73" i="1" s="1"/>
  <c r="AL73" i="1" s="1"/>
  <c r="Y28" i="1"/>
  <c r="AM28" i="1" s="1"/>
  <c r="X62" i="1"/>
  <c r="AA33" i="1"/>
  <c r="AA181" i="1"/>
  <c r="Z367" i="1"/>
  <c r="Y350" i="1"/>
  <c r="AM350" i="1" s="1"/>
  <c r="Y342" i="1"/>
  <c r="AM342" i="1" s="1"/>
  <c r="Y295" i="1"/>
  <c r="AM295" i="1" s="1"/>
  <c r="Y276" i="1"/>
  <c r="AM276" i="1" s="1"/>
  <c r="Z319" i="1"/>
  <c r="AB319" i="1" s="1"/>
  <c r="AL319" i="1" s="1"/>
  <c r="X304" i="1"/>
  <c r="Y297" i="1"/>
  <c r="AM297" i="1" s="1"/>
  <c r="Z262" i="1"/>
  <c r="AB262" i="1" s="1"/>
  <c r="AL262" i="1" s="1"/>
  <c r="Z219" i="1"/>
  <c r="AB219" i="1" s="1"/>
  <c r="AL219" i="1" s="1"/>
  <c r="Z25" i="1"/>
  <c r="AB25" i="1" s="1"/>
  <c r="AL25" i="1" s="1"/>
  <c r="Y49" i="1"/>
  <c r="AM49" i="1" s="1"/>
  <c r="Z23" i="1"/>
  <c r="AB23" i="1" s="1"/>
  <c r="AL23" i="1" s="1"/>
  <c r="Y68" i="1"/>
  <c r="AM68" i="1" s="1"/>
  <c r="Y180" i="1"/>
  <c r="AM180" i="1" s="1"/>
  <c r="X362" i="1"/>
  <c r="Y346" i="1"/>
  <c r="AM346" i="1" s="1"/>
  <c r="Y317" i="1"/>
  <c r="AM317" i="1" s="1"/>
  <c r="Y330" i="1"/>
  <c r="AM330" i="1" s="1"/>
  <c r="Y307" i="1"/>
  <c r="AM307" i="1" s="1"/>
  <c r="Z322" i="1"/>
  <c r="AB322" i="1" s="1"/>
  <c r="AL322" i="1" s="1"/>
  <c r="X256" i="1"/>
  <c r="Y310" i="1"/>
  <c r="AM310" i="1" s="1"/>
  <c r="Z266" i="1"/>
  <c r="X253" i="1"/>
  <c r="X237" i="1"/>
  <c r="Y357" i="1"/>
  <c r="AM357" i="1" s="1"/>
  <c r="Z357" i="1"/>
  <c r="X345" i="1"/>
  <c r="Y335" i="1"/>
  <c r="AM335" i="1" s="1"/>
  <c r="Y325" i="1"/>
  <c r="AM325" i="1" s="1"/>
  <c r="Z71" i="1"/>
  <c r="AB71" i="1" s="1"/>
  <c r="AL71" i="1" s="1"/>
  <c r="Z81" i="1"/>
  <c r="Z53" i="1"/>
  <c r="AB53" i="1" s="1"/>
  <c r="AL53" i="1" s="1"/>
  <c r="AA18" i="1"/>
  <c r="Z86" i="1"/>
  <c r="AB86" i="1" s="1"/>
  <c r="AL86" i="1" s="1"/>
  <c r="Z136" i="1"/>
  <c r="AB136" i="1" s="1"/>
  <c r="AL136" i="1" s="1"/>
  <c r="X211" i="1"/>
  <c r="X13" i="1"/>
  <c r="X132" i="1"/>
  <c r="Z55" i="1"/>
  <c r="AB55" i="1" s="1"/>
  <c r="AL55" i="1" s="1"/>
  <c r="Z47" i="1"/>
  <c r="Z106" i="1"/>
  <c r="AB106" i="1" s="1"/>
  <c r="AL106" i="1" s="1"/>
  <c r="Z79" i="1"/>
  <c r="Y365" i="1"/>
  <c r="AM365" i="1" s="1"/>
  <c r="Z364" i="1"/>
  <c r="X357" i="1"/>
  <c r="Z366" i="1"/>
  <c r="AB366" i="1" s="1"/>
  <c r="AL366" i="1" s="1"/>
  <c r="Z346" i="1"/>
  <c r="AB346" i="1" s="1"/>
  <c r="AL346" i="1" s="1"/>
  <c r="Z350" i="1"/>
  <c r="Z349" i="1"/>
  <c r="X329" i="1"/>
  <c r="Y331" i="1"/>
  <c r="AM331" i="1" s="1"/>
  <c r="X325" i="1"/>
  <c r="Z330" i="1"/>
  <c r="AB330" i="1" s="1"/>
  <c r="AL330" i="1" s="1"/>
  <c r="X309" i="1"/>
  <c r="Y334" i="1"/>
  <c r="AM334" i="1" s="1"/>
  <c r="Z307" i="1"/>
  <c r="Z344" i="1"/>
  <c r="Y323" i="1"/>
  <c r="AM323" i="1" s="1"/>
  <c r="X274" i="1"/>
  <c r="Y296" i="1"/>
  <c r="AM296" i="1" s="1"/>
  <c r="X252" i="1"/>
  <c r="X294" i="1"/>
  <c r="X271" i="1"/>
  <c r="Z282" i="1"/>
  <c r="AB282" i="1" s="1"/>
  <c r="AL282" i="1" s="1"/>
  <c r="Y304" i="1"/>
  <c r="AM304" i="1" s="1"/>
  <c r="X275" i="1"/>
  <c r="Z236" i="1"/>
  <c r="Z328" i="1"/>
  <c r="X261" i="1"/>
  <c r="Z265" i="1"/>
  <c r="AB265" i="1" s="1"/>
  <c r="AL265" i="1" s="1"/>
  <c r="X258" i="1"/>
  <c r="Z224" i="1"/>
  <c r="X230" i="1"/>
  <c r="Z212" i="1"/>
  <c r="X219" i="1"/>
  <c r="X206" i="1"/>
  <c r="Y193" i="1"/>
  <c r="AM193" i="1" s="1"/>
  <c r="Y201" i="1"/>
  <c r="AM201" i="1" s="1"/>
  <c r="Z203" i="1"/>
  <c r="AB203" i="1" s="1"/>
  <c r="AL203" i="1" s="1"/>
  <c r="Y157" i="1"/>
  <c r="AM157" i="1" s="1"/>
  <c r="Z133" i="1"/>
  <c r="AB133" i="1" s="1"/>
  <c r="AL133" i="1" s="1"/>
  <c r="X181" i="1"/>
  <c r="X157" i="1"/>
  <c r="X148" i="1"/>
  <c r="Y164" i="1"/>
  <c r="AM164" i="1" s="1"/>
  <c r="Z202" i="1"/>
  <c r="AB202" i="1" s="1"/>
  <c r="AL202" i="1" s="1"/>
  <c r="Z208" i="1"/>
  <c r="AB208" i="1" s="1"/>
  <c r="AL208" i="1" s="1"/>
  <c r="Y225" i="1"/>
  <c r="AM225" i="1" s="1"/>
  <c r="X143" i="1"/>
  <c r="Y70" i="1"/>
  <c r="AM70" i="1" s="1"/>
  <c r="Z125" i="1"/>
  <c r="AB125" i="1" s="1"/>
  <c r="AL125" i="1" s="1"/>
  <c r="X78" i="1"/>
  <c r="Y166" i="1"/>
  <c r="AM166" i="1" s="1"/>
  <c r="Y112" i="1"/>
  <c r="AM112" i="1" s="1"/>
  <c r="Y197" i="1"/>
  <c r="AM197" i="1" s="1"/>
  <c r="Z84" i="1"/>
  <c r="AB84" i="1" s="1"/>
  <c r="AL84" i="1" s="1"/>
  <c r="X141" i="1"/>
  <c r="Y189" i="1"/>
  <c r="AM189" i="1" s="1"/>
  <c r="X42" i="1"/>
  <c r="Z43" i="1"/>
  <c r="AB43" i="1" s="1"/>
  <c r="AL43" i="1" s="1"/>
  <c r="Y17" i="1"/>
  <c r="AM17" i="1" s="1"/>
  <c r="Z65" i="1"/>
  <c r="AB65" i="1" s="1"/>
  <c r="AL65" i="1" s="1"/>
  <c r="Z52" i="1"/>
  <c r="AB52" i="1" s="1"/>
  <c r="AL52" i="1" s="1"/>
  <c r="X55" i="1"/>
  <c r="X53" i="1"/>
  <c r="AA78" i="1"/>
  <c r="AA69" i="1"/>
  <c r="AA113" i="1"/>
  <c r="AA118" i="1"/>
  <c r="AA195" i="1"/>
  <c r="Y368" i="1"/>
  <c r="AM368" i="1" s="1"/>
  <c r="Y348" i="1"/>
  <c r="AM348" i="1" s="1"/>
  <c r="Z340" i="1"/>
  <c r="Z303" i="1"/>
  <c r="AB303" i="1" s="1"/>
  <c r="AL303" i="1" s="1"/>
  <c r="Z290" i="1"/>
  <c r="X244" i="1"/>
  <c r="Z294" i="1"/>
  <c r="AB294" i="1" s="1"/>
  <c r="AL294" i="1" s="1"/>
  <c r="Z271" i="1"/>
  <c r="Y282" i="1"/>
  <c r="AM282" i="1" s="1"/>
  <c r="Z278" i="1"/>
  <c r="AB278" i="1" s="1"/>
  <c r="AL278" i="1" s="1"/>
  <c r="Z275" i="1"/>
  <c r="X301" i="1"/>
  <c r="Y291" i="1"/>
  <c r="AM291" i="1" s="1"/>
  <c r="X245" i="1"/>
  <c r="Y233" i="1"/>
  <c r="AM233" i="1" s="1"/>
  <c r="X229" i="1"/>
  <c r="Y229" i="1"/>
  <c r="AM229" i="1" s="1"/>
  <c r="Y246" i="1"/>
  <c r="AM246" i="1" s="1"/>
  <c r="X231" i="1"/>
  <c r="Z222" i="1"/>
  <c r="AB222" i="1" s="1"/>
  <c r="AL222" i="1" s="1"/>
  <c r="X215" i="1"/>
  <c r="X174" i="1"/>
  <c r="Z191" i="1"/>
  <c r="X205" i="1"/>
  <c r="Y152" i="1"/>
  <c r="AM152" i="1" s="1"/>
  <c r="Y194" i="1"/>
  <c r="AM194" i="1" s="1"/>
  <c r="Y181" i="1"/>
  <c r="AM181" i="1" s="1"/>
  <c r="Y156" i="1"/>
  <c r="AM156" i="1" s="1"/>
  <c r="Z134" i="1"/>
  <c r="AB134" i="1" s="1"/>
  <c r="AL134" i="1" s="1"/>
  <c r="X162" i="1"/>
  <c r="X120" i="1"/>
  <c r="X121" i="1"/>
  <c r="Z94" i="1"/>
  <c r="AB94" i="1" s="1"/>
  <c r="AL94" i="1" s="1"/>
  <c r="Y159" i="1"/>
  <c r="AM159" i="1" s="1"/>
  <c r="X113" i="1"/>
  <c r="X70" i="1"/>
  <c r="X146" i="1"/>
  <c r="Y105" i="1"/>
  <c r="AM105" i="1" s="1"/>
  <c r="X154" i="1"/>
  <c r="X165" i="1"/>
  <c r="X129" i="1"/>
  <c r="Y33" i="1"/>
  <c r="AM33" i="1" s="1"/>
  <c r="Z38" i="1"/>
  <c r="Z12" i="1"/>
  <c r="AB12" i="1" s="1"/>
  <c r="AL12" i="1" s="1"/>
  <c r="Y45" i="1"/>
  <c r="AM45" i="1" s="1"/>
  <c r="Z61" i="1"/>
  <c r="AA39" i="1"/>
  <c r="Z74" i="1"/>
  <c r="AA129" i="1"/>
  <c r="Z105" i="1"/>
  <c r="AB105" i="1" s="1"/>
  <c r="AL105" i="1" s="1"/>
  <c r="Z108" i="1"/>
  <c r="X199" i="1"/>
  <c r="X251" i="1"/>
  <c r="AA352" i="1"/>
  <c r="Y353" i="1"/>
  <c r="AM353" i="1" s="1"/>
  <c r="Z354" i="1"/>
  <c r="AB354" i="1" s="1"/>
  <c r="AL354" i="1" s="1"/>
  <c r="X327" i="1"/>
  <c r="Y326" i="1"/>
  <c r="AM326" i="1" s="1"/>
  <c r="Z323" i="1"/>
  <c r="AB323" i="1" s="1"/>
  <c r="AL323" i="1" s="1"/>
  <c r="Z337" i="1"/>
  <c r="Z325" i="1"/>
  <c r="Z326" i="1"/>
  <c r="X334" i="1"/>
  <c r="Y300" i="1"/>
  <c r="AM300" i="1" s="1"/>
  <c r="X303" i="1"/>
  <c r="Y341" i="1"/>
  <c r="AM341" i="1" s="1"/>
  <c r="X290" i="1"/>
  <c r="X268" i="1"/>
  <c r="X338" i="1"/>
  <c r="Z286" i="1"/>
  <c r="AB286" i="1" s="1"/>
  <c r="AL286" i="1" s="1"/>
  <c r="X277" i="1"/>
  <c r="X287" i="1"/>
  <c r="X32" i="1"/>
  <c r="AA188" i="1"/>
  <c r="X58" i="1"/>
  <c r="Z60" i="1"/>
  <c r="AB60" i="1" s="1"/>
  <c r="AL60" i="1" s="1"/>
  <c r="Z30" i="1"/>
  <c r="AB30" i="1" s="1"/>
  <c r="AL30" i="1" s="1"/>
  <c r="Y42" i="1"/>
  <c r="AM42" i="1" s="1"/>
  <c r="Z109" i="1"/>
  <c r="AB109" i="1" s="1"/>
  <c r="AL109" i="1" s="1"/>
  <c r="AA132" i="1"/>
  <c r="Y111" i="1"/>
  <c r="AM111" i="1" s="1"/>
  <c r="Z111" i="1"/>
  <c r="AA200" i="1"/>
  <c r="AA12" i="1"/>
  <c r="Y337" i="1"/>
  <c r="AM337" i="1" s="1"/>
  <c r="X288" i="1"/>
  <c r="Z243" i="1"/>
  <c r="AB243" i="1" s="1"/>
  <c r="AL243" i="1" s="1"/>
  <c r="X186" i="1"/>
  <c r="AA171" i="1"/>
  <c r="Z174" i="1"/>
  <c r="AB174" i="1" s="1"/>
  <c r="AL174" i="1" s="1"/>
  <c r="Z102" i="1"/>
  <c r="X102" i="1"/>
  <c r="AA112" i="1"/>
  <c r="Y55" i="1"/>
  <c r="AM55" i="1" s="1"/>
  <c r="X85" i="1"/>
  <c r="AA65" i="1"/>
  <c r="Y95" i="1"/>
  <c r="AM95" i="1" s="1"/>
  <c r="AA101" i="1"/>
  <c r="Y61" i="1"/>
  <c r="AM61" i="1" s="1"/>
  <c r="Y107" i="1"/>
  <c r="AM107" i="1" s="1"/>
  <c r="Z50" i="1"/>
  <c r="AA75" i="1"/>
  <c r="AA35" i="1"/>
  <c r="AA36" i="1"/>
  <c r="X17" i="1"/>
  <c r="Z45" i="1"/>
  <c r="X22" i="1"/>
  <c r="AA38" i="1"/>
  <c r="AA316" i="1"/>
  <c r="AA280" i="1"/>
  <c r="Z244" i="1"/>
  <c r="AA246" i="1"/>
  <c r="AA228" i="1"/>
  <c r="AA138" i="1"/>
  <c r="Y106" i="1"/>
  <c r="AM106" i="1" s="1"/>
  <c r="X123" i="1"/>
  <c r="Z85" i="1"/>
  <c r="AB85" i="1" s="1"/>
  <c r="AL85" i="1" s="1"/>
  <c r="AA52" i="1"/>
  <c r="Y84" i="1"/>
  <c r="AM84" i="1" s="1"/>
  <c r="AA53" i="1"/>
  <c r="AA93" i="1"/>
  <c r="AA100" i="1"/>
  <c r="AA58" i="1"/>
  <c r="Z101" i="1"/>
  <c r="AB101" i="1" s="1"/>
  <c r="AL101" i="1" s="1"/>
  <c r="X49" i="1"/>
  <c r="Y62" i="1"/>
  <c r="AM62" i="1" s="1"/>
  <c r="AA28" i="1"/>
  <c r="Y30" i="1"/>
  <c r="AM30" i="1" s="1"/>
  <c r="Y37" i="1"/>
  <c r="AM37" i="1" s="1"/>
  <c r="AA24" i="1"/>
  <c r="Z49" i="1"/>
  <c r="AB49" i="1" s="1"/>
  <c r="AL49" i="1" s="1"/>
  <c r="AA25" i="1"/>
  <c r="Y39" i="1"/>
  <c r="AM39" i="1" s="1"/>
  <c r="Y301" i="1"/>
  <c r="AM301" i="1" s="1"/>
  <c r="Z270" i="1"/>
  <c r="X269" i="1"/>
  <c r="Z184" i="1"/>
  <c r="Y145" i="1"/>
  <c r="AM145" i="1" s="1"/>
  <c r="AA134" i="1"/>
  <c r="AA103" i="1"/>
  <c r="AA120" i="1"/>
  <c r="Z83" i="1"/>
  <c r="Y51" i="1"/>
  <c r="AM51" i="1" s="1"/>
  <c r="Y83" i="1"/>
  <c r="AM83" i="1" s="1"/>
  <c r="AA49" i="1"/>
  <c r="AA89" i="1"/>
  <c r="AA97" i="1"/>
  <c r="AA54" i="1"/>
  <c r="Y100" i="1"/>
  <c r="AM100" i="1" s="1"/>
  <c r="Z46" i="1"/>
  <c r="AA59" i="1"/>
  <c r="AA14" i="1"/>
  <c r="X38" i="1"/>
  <c r="AA84" i="1"/>
  <c r="Y13" i="1"/>
  <c r="AM13" i="1" s="1"/>
  <c r="Z51" i="1"/>
  <c r="X26" i="1"/>
  <c r="X40" i="1"/>
  <c r="Y371" i="1"/>
  <c r="AM371" i="1" s="1"/>
  <c r="AA315" i="1"/>
  <c r="AA291" i="1"/>
  <c r="Y244" i="1"/>
  <c r="AM244" i="1" s="1"/>
  <c r="AA167" i="1"/>
  <c r="X134" i="1"/>
  <c r="Z128" i="1"/>
  <c r="Y94" i="1"/>
  <c r="AM94" i="1" s="1"/>
  <c r="X115" i="1"/>
  <c r="AA80" i="1"/>
  <c r="AA48" i="1"/>
  <c r="Z80" i="1"/>
  <c r="AA45" i="1"/>
  <c r="AA88" i="1"/>
  <c r="Z93" i="1"/>
  <c r="AB93" i="1" s="1"/>
  <c r="AL93" i="1" s="1"/>
  <c r="Y53" i="1"/>
  <c r="AM53" i="1" s="1"/>
  <c r="X77" i="1"/>
  <c r="X139" i="1"/>
  <c r="Y58" i="1"/>
  <c r="AM58" i="1" s="1"/>
  <c r="Y15" i="1"/>
  <c r="AM15" i="1" s="1"/>
  <c r="Z35" i="1"/>
  <c r="AB35" i="1" s="1"/>
  <c r="AL35" i="1" s="1"/>
  <c r="Z59" i="1"/>
  <c r="AB59" i="1" s="1"/>
  <c r="AL59" i="1" s="1"/>
  <c r="AA96" i="1"/>
  <c r="X43" i="1"/>
  <c r="AA16" i="1"/>
  <c r="Z37" i="1"/>
  <c r="AB37" i="1" s="1"/>
  <c r="AL37" i="1" s="1"/>
  <c r="Z13" i="1"/>
  <c r="Z28" i="1"/>
  <c r="AB28" i="1" s="1"/>
  <c r="AL28" i="1" s="1"/>
  <c r="Z57" i="1"/>
  <c r="X371" i="1"/>
  <c r="AA309" i="1"/>
  <c r="Y259" i="1"/>
  <c r="AM259" i="1" s="1"/>
  <c r="X204" i="1"/>
  <c r="X159" i="1"/>
  <c r="AA144" i="1"/>
  <c r="AA102" i="1"/>
  <c r="X118" i="1"/>
  <c r="X91" i="1"/>
  <c r="AA68" i="1"/>
  <c r="Z140" i="1"/>
  <c r="Z95" i="1"/>
  <c r="Y32" i="1"/>
  <c r="AM32" i="1" s="1"/>
  <c r="Z130" i="1"/>
  <c r="AB130" i="1" s="1"/>
  <c r="AL130" i="1" s="1"/>
  <c r="Y77" i="1"/>
  <c r="AM77" i="1" s="1"/>
  <c r="Z122" i="1"/>
  <c r="AB122" i="1" s="1"/>
  <c r="AL122" i="1" s="1"/>
  <c r="X73" i="1"/>
  <c r="X87" i="1"/>
  <c r="AA43" i="1"/>
  <c r="AA21" i="1"/>
  <c r="X47" i="1"/>
  <c r="Y20" i="1"/>
  <c r="AM20" i="1" s="1"/>
  <c r="X39" i="1"/>
  <c r="Z17" i="1"/>
  <c r="Y31" i="1"/>
  <c r="AM31" i="1" s="1"/>
  <c r="X90" i="1"/>
  <c r="Y356" i="1"/>
  <c r="AM356" i="1" s="1"/>
  <c r="X335" i="1"/>
  <c r="Y329" i="1"/>
  <c r="AM329" i="1" s="1"/>
  <c r="Z313" i="1"/>
  <c r="Z295" i="1"/>
  <c r="X341" i="1"/>
  <c r="Z273" i="1"/>
  <c r="AB273" i="1" s="1"/>
  <c r="AL273" i="1" s="1"/>
  <c r="Z352" i="1"/>
  <c r="Y362" i="1"/>
  <c r="AM362" i="1" s="1"/>
  <c r="Y361" i="1"/>
  <c r="AM361" i="1" s="1"/>
  <c r="X339" i="1"/>
  <c r="Y327" i="1"/>
  <c r="AM327" i="1" s="1"/>
  <c r="X340" i="1"/>
  <c r="X365" i="1"/>
  <c r="X369" i="1"/>
  <c r="X361" i="1"/>
  <c r="X336" i="1"/>
  <c r="X312" i="1"/>
  <c r="Y340" i="1"/>
  <c r="AM340" i="1" s="1"/>
  <c r="Y308" i="1"/>
  <c r="AM308" i="1" s="1"/>
  <c r="Y29" i="1"/>
  <c r="AM29" i="1" s="1"/>
  <c r="Y124" i="1"/>
  <c r="AM124" i="1" s="1"/>
  <c r="Z58" i="1"/>
  <c r="X88" i="1"/>
  <c r="X28" i="1"/>
  <c r="X60" i="1"/>
  <c r="AA55" i="1"/>
  <c r="Z120" i="1"/>
  <c r="AB120" i="1" s="1"/>
  <c r="AL120" i="1" s="1"/>
  <c r="Y26" i="1"/>
  <c r="AM26" i="1" s="1"/>
  <c r="AA157" i="1"/>
  <c r="X114" i="1"/>
  <c r="AA174" i="1"/>
  <c r="X307" i="1"/>
  <c r="Y48" i="1"/>
  <c r="AM48" i="1" s="1"/>
  <c r="X19" i="1"/>
  <c r="Z16" i="1"/>
  <c r="AB16" i="1" s="1"/>
  <c r="AL16" i="1" s="1"/>
  <c r="AA79" i="1"/>
  <c r="Y131" i="1"/>
  <c r="AM131" i="1" s="1"/>
  <c r="Y27" i="1"/>
  <c r="AM27" i="1" s="1"/>
  <c r="AA64" i="1"/>
  <c r="Y90" i="1"/>
  <c r="AM90" i="1" s="1"/>
  <c r="X155" i="1"/>
  <c r="Y268" i="1"/>
  <c r="AM268" i="1" s="1"/>
  <c r="Z315" i="1"/>
  <c r="X326" i="1"/>
  <c r="Y298" i="1"/>
  <c r="AM298" i="1" s="1"/>
  <c r="Z334" i="1"/>
  <c r="AB334" i="1" s="1"/>
  <c r="AL334" i="1" s="1"/>
  <c r="X344" i="1"/>
  <c r="X323" i="1"/>
  <c r="Y274" i="1"/>
  <c r="AM274" i="1" s="1"/>
  <c r="Z296" i="1"/>
  <c r="X273" i="1"/>
  <c r="X248" i="1"/>
  <c r="Y294" i="1"/>
  <c r="AM294" i="1" s="1"/>
  <c r="Z304" i="1"/>
  <c r="Y275" i="1"/>
  <c r="AM275" i="1" s="1"/>
  <c r="X257" i="1"/>
  <c r="Y328" i="1"/>
  <c r="AM328" i="1" s="1"/>
  <c r="X291" i="1"/>
  <c r="Z279" i="1"/>
  <c r="Z253" i="1"/>
  <c r="AB253" i="1" s="1"/>
  <c r="AL253" i="1" s="1"/>
  <c r="Y261" i="1"/>
  <c r="AM261" i="1" s="1"/>
  <c r="X238" i="1"/>
  <c r="Y258" i="1"/>
  <c r="AM258" i="1" s="1"/>
  <c r="Y211" i="1"/>
  <c r="AM211" i="1" s="1"/>
  <c r="Z210" i="1"/>
  <c r="AB210" i="1" s="1"/>
  <c r="AL210" i="1" s="1"/>
  <c r="Z215" i="1"/>
  <c r="Z206" i="1"/>
  <c r="X180" i="1"/>
  <c r="Z193" i="1"/>
  <c r="Z201" i="1"/>
  <c r="Z156" i="1"/>
  <c r="Y132" i="1"/>
  <c r="AM132" i="1" s="1"/>
  <c r="Z181" i="1"/>
  <c r="AB181" i="1" s="1"/>
  <c r="AL181" i="1" s="1"/>
  <c r="Z157" i="1"/>
  <c r="AB157" i="1" s="1"/>
  <c r="AL157" i="1" s="1"/>
  <c r="Y140" i="1"/>
  <c r="AM140" i="1" s="1"/>
  <c r="X164" i="1"/>
  <c r="X130" i="1"/>
  <c r="Y176" i="1"/>
  <c r="AM176" i="1" s="1"/>
  <c r="X195" i="1"/>
  <c r="Z225" i="1"/>
  <c r="AB225" i="1" s="1"/>
  <c r="AL225" i="1" s="1"/>
  <c r="Y123" i="1"/>
  <c r="AM123" i="1" s="1"/>
  <c r="Z143" i="1"/>
  <c r="Y125" i="1"/>
  <c r="AM125" i="1" s="1"/>
  <c r="X74" i="1"/>
  <c r="Z146" i="1"/>
  <c r="AB146" i="1" s="1"/>
  <c r="AL146" i="1" s="1"/>
  <c r="Z112" i="1"/>
  <c r="Z197" i="1"/>
  <c r="Y141" i="1"/>
  <c r="AM141" i="1" s="1"/>
  <c r="Z189" i="1"/>
  <c r="AB189" i="1" s="1"/>
  <c r="AL189" i="1" s="1"/>
  <c r="Y44" i="1"/>
  <c r="AM44" i="1" s="1"/>
  <c r="Y88" i="1"/>
  <c r="AM88" i="1" s="1"/>
  <c r="Y57" i="1"/>
  <c r="AM57" i="1" s="1"/>
  <c r="Z24" i="1"/>
  <c r="Y72" i="1"/>
  <c r="AM72" i="1" s="1"/>
  <c r="Z257" i="1"/>
  <c r="Z291" i="1"/>
  <c r="Y245" i="1"/>
  <c r="AM245" i="1" s="1"/>
  <c r="X233" i="1"/>
  <c r="X283" i="1"/>
  <c r="Z223" i="1"/>
  <c r="X217" i="1"/>
  <c r="Z229" i="1"/>
  <c r="AB229" i="1" s="1"/>
  <c r="AL229" i="1" s="1"/>
  <c r="Z246" i="1"/>
  <c r="X220" i="1"/>
  <c r="X209" i="1"/>
  <c r="Y185" i="1"/>
  <c r="AM185" i="1" s="1"/>
  <c r="X161" i="1"/>
  <c r="Y191" i="1"/>
  <c r="AM191" i="1" s="1"/>
  <c r="Y199" i="1"/>
  <c r="AM199" i="1" s="1"/>
  <c r="Z148" i="1"/>
  <c r="X194" i="1"/>
  <c r="Y160" i="1"/>
  <c r="AM160" i="1" s="1"/>
  <c r="Y130" i="1"/>
  <c r="AM130" i="1" s="1"/>
  <c r="Y162" i="1"/>
  <c r="AM162" i="1" s="1"/>
  <c r="X221" i="1"/>
  <c r="Y195" i="1"/>
  <c r="AM195" i="1" s="1"/>
  <c r="X167" i="1"/>
  <c r="Z121" i="1"/>
  <c r="Z159" i="1"/>
  <c r="X105" i="1"/>
  <c r="Z175" i="1"/>
  <c r="AB175" i="1" s="1"/>
  <c r="AL175" i="1" s="1"/>
  <c r="X126" i="1"/>
  <c r="Y154" i="1"/>
  <c r="AM154" i="1" s="1"/>
  <c r="Z165" i="1"/>
  <c r="AB165" i="1" s="1"/>
  <c r="AL165" i="1" s="1"/>
  <c r="Z129" i="1"/>
  <c r="AB129" i="1" s="1"/>
  <c r="AL129" i="1" s="1"/>
  <c r="Z119" i="1"/>
  <c r="Y41" i="1"/>
  <c r="AM41" i="1" s="1"/>
  <c r="X76" i="1"/>
  <c r="X20" i="1"/>
  <c r="Y309" i="1"/>
  <c r="AM309" i="1" s="1"/>
  <c r="Z300" i="1"/>
  <c r="AB300" i="1" s="1"/>
  <c r="AL300" i="1" s="1"/>
  <c r="Z341" i="1"/>
  <c r="Y289" i="1"/>
  <c r="AM289" i="1" s="1"/>
  <c r="X305" i="1"/>
  <c r="Y290" i="1"/>
  <c r="AM290" i="1" s="1"/>
  <c r="X267" i="1"/>
  <c r="Y338" i="1"/>
  <c r="AM338" i="1" s="1"/>
  <c r="X286" i="1"/>
  <c r="Z267" i="1"/>
  <c r="Y277" i="1"/>
  <c r="AM277" i="1" s="1"/>
  <c r="Y278" i="1"/>
  <c r="AM278" i="1" s="1"/>
  <c r="Y287" i="1"/>
  <c r="AM287" i="1" s="1"/>
  <c r="X236" i="1"/>
  <c r="Z301" i="1"/>
  <c r="X249" i="1"/>
  <c r="Z245" i="1"/>
  <c r="Z233" i="1"/>
  <c r="AB233" i="1" s="1"/>
  <c r="AL233" i="1" s="1"/>
  <c r="X223" i="1"/>
  <c r="Y242" i="1"/>
  <c r="AM242" i="1" s="1"/>
  <c r="Z211" i="1"/>
  <c r="X240" i="1"/>
  <c r="Y216" i="1"/>
  <c r="AM216" i="1" s="1"/>
  <c r="Y220" i="1"/>
  <c r="AM220" i="1" s="1"/>
  <c r="Z209" i="1"/>
  <c r="AB209" i="1" s="1"/>
  <c r="AL209" i="1" s="1"/>
  <c r="X184" i="1"/>
  <c r="Y241" i="1"/>
  <c r="AM241" i="1" s="1"/>
  <c r="X190" i="1"/>
  <c r="X198" i="1"/>
  <c r="Z205" i="1"/>
  <c r="X145" i="1"/>
  <c r="Z194" i="1"/>
  <c r="AB194" i="1" s="1"/>
  <c r="AL194" i="1" s="1"/>
  <c r="Z160" i="1"/>
  <c r="Z152" i="1"/>
  <c r="Y120" i="1"/>
  <c r="AM120" i="1" s="1"/>
  <c r="X151" i="1"/>
  <c r="X182" i="1"/>
  <c r="Z167" i="1"/>
  <c r="Y92" i="1"/>
  <c r="AM92" i="1" s="1"/>
  <c r="Y146" i="1"/>
  <c r="AM146" i="1" s="1"/>
  <c r="Z98" i="1"/>
  <c r="AB98" i="1" s="1"/>
  <c r="AL98" i="1" s="1"/>
  <c r="X175" i="1"/>
  <c r="Z126" i="1"/>
  <c r="AB126" i="1" s="1"/>
  <c r="AL126" i="1" s="1"/>
  <c r="X104" i="1"/>
  <c r="X144" i="1"/>
  <c r="X150" i="1"/>
  <c r="Y129" i="1"/>
  <c r="AM129" i="1" s="1"/>
  <c r="X119" i="1"/>
  <c r="X54" i="1"/>
  <c r="Y76" i="1"/>
  <c r="AM76" i="1" s="1"/>
  <c r="X33" i="1"/>
  <c r="X57" i="1"/>
  <c r="X66" i="1"/>
  <c r="X56" i="1"/>
  <c r="X31" i="1"/>
  <c r="Z309" i="1"/>
  <c r="Y311" i="1"/>
  <c r="AM311" i="1" s="1"/>
  <c r="Y299" i="1"/>
  <c r="AM299" i="1" s="1"/>
  <c r="X322" i="1"/>
  <c r="Z285" i="1"/>
  <c r="AB285" i="1" s="1"/>
  <c r="AL285" i="1" s="1"/>
  <c r="Y305" i="1"/>
  <c r="AM305" i="1" s="1"/>
  <c r="X285" i="1"/>
  <c r="X264" i="1"/>
  <c r="Z338" i="1"/>
  <c r="AB338" i="1" s="1"/>
  <c r="AL338" i="1" s="1"/>
  <c r="Y286" i="1"/>
  <c r="AM286" i="1" s="1"/>
  <c r="Z310" i="1"/>
  <c r="X270" i="1"/>
  <c r="X314" i="1"/>
  <c r="Z287" i="1"/>
  <c r="Y236" i="1"/>
  <c r="AM236" i="1" s="1"/>
  <c r="X297" i="1"/>
  <c r="Y249" i="1"/>
  <c r="AM249" i="1" s="1"/>
  <c r="Y293" i="1"/>
  <c r="AM293" i="1" s="1"/>
  <c r="X228" i="1"/>
  <c r="Z283" i="1"/>
  <c r="AB283" i="1" s="1"/>
  <c r="AL283" i="1" s="1"/>
  <c r="X262" i="1"/>
  <c r="Z242" i="1"/>
  <c r="X246" i="1"/>
  <c r="Z217" i="1"/>
  <c r="Y240" i="1"/>
  <c r="AM240" i="1" s="1"/>
  <c r="Z216" i="1"/>
  <c r="Z220" i="1"/>
  <c r="AB220" i="1" s="1"/>
  <c r="AL220" i="1" s="1"/>
  <c r="X250" i="1"/>
  <c r="Y184" i="1"/>
  <c r="AM184" i="1" s="1"/>
  <c r="X241" i="1"/>
  <c r="Z190" i="1"/>
  <c r="AB190" i="1" s="1"/>
  <c r="AL190" i="1" s="1"/>
  <c r="Z198" i="1"/>
  <c r="AB198" i="1" s="1"/>
  <c r="AL198" i="1" s="1"/>
  <c r="Z168" i="1"/>
  <c r="AB168" i="1" s="1"/>
  <c r="AL168" i="1" s="1"/>
  <c r="Z145" i="1"/>
  <c r="X183" i="1"/>
  <c r="X160" i="1"/>
  <c r="X152" i="1"/>
  <c r="Z176" i="1"/>
  <c r="X142" i="1"/>
  <c r="Z234" i="1"/>
  <c r="Z221" i="1"/>
  <c r="AB221" i="1" s="1"/>
  <c r="AL221" i="1" s="1"/>
  <c r="Y182" i="1"/>
  <c r="AM182" i="1" s="1"/>
  <c r="Y153" i="1"/>
  <c r="AM153" i="1" s="1"/>
  <c r="Y87" i="1"/>
  <c r="AM87" i="1" s="1"/>
  <c r="Z92" i="1"/>
  <c r="X135" i="1"/>
  <c r="X94" i="1"/>
  <c r="Y175" i="1"/>
  <c r="AM175" i="1" s="1"/>
  <c r="Y113" i="1"/>
  <c r="AM113" i="1" s="1"/>
  <c r="Y104" i="1"/>
  <c r="AM104" i="1" s="1"/>
  <c r="Y144" i="1"/>
  <c r="Y150" i="1"/>
  <c r="AM150" i="1" s="1"/>
  <c r="Z127" i="1"/>
  <c r="Y97" i="1"/>
  <c r="AM97" i="1" s="1"/>
  <c r="Z54" i="1"/>
  <c r="Z76" i="1"/>
  <c r="X81" i="1"/>
  <c r="X52" i="1"/>
  <c r="Z66" i="1"/>
  <c r="Y117" i="1"/>
  <c r="AM117" i="1" s="1"/>
  <c r="X359" i="1"/>
  <c r="X330" i="1"/>
  <c r="Z318" i="1"/>
  <c r="Z311" i="1"/>
  <c r="X292" i="1"/>
  <c r="Z305" i="1"/>
  <c r="AB305" i="1" s="1"/>
  <c r="AL305" i="1" s="1"/>
  <c r="Y285" i="1"/>
  <c r="AM285" i="1" s="1"/>
  <c r="X260" i="1"/>
  <c r="X281" i="1"/>
  <c r="X310" i="1"/>
  <c r="Y270" i="1"/>
  <c r="AM270" i="1" s="1"/>
  <c r="Z232" i="1"/>
  <c r="Y232" i="1"/>
  <c r="AM232" i="1" s="1"/>
  <c r="Z249" i="1"/>
  <c r="Z293" i="1"/>
  <c r="Y228" i="1"/>
  <c r="AM228" i="1" s="1"/>
  <c r="X265" i="1"/>
  <c r="Y262" i="1"/>
  <c r="AM262" i="1" s="1"/>
  <c r="X224" i="1"/>
  <c r="Z240" i="1"/>
  <c r="AB240" i="1" s="1"/>
  <c r="AL240" i="1" s="1"/>
  <c r="X212" i="1"/>
  <c r="Y237" i="1"/>
  <c r="AM237" i="1" s="1"/>
  <c r="Y219" i="1"/>
  <c r="AM219" i="1" s="1"/>
  <c r="Z241" i="1"/>
  <c r="Z173" i="1"/>
  <c r="AB173" i="1" s="1"/>
  <c r="AL173" i="1" s="1"/>
  <c r="Z170" i="1"/>
  <c r="AB170" i="1" s="1"/>
  <c r="AL170" i="1" s="1"/>
  <c r="X168" i="1"/>
  <c r="Z138" i="1"/>
  <c r="Z158" i="1"/>
  <c r="Z151" i="1"/>
  <c r="AB151" i="1" s="1"/>
  <c r="AL151" i="1" s="1"/>
  <c r="X169" i="1"/>
  <c r="Z142" i="1"/>
  <c r="Z153" i="1"/>
  <c r="AB153" i="1" s="1"/>
  <c r="AL153" i="1" s="1"/>
  <c r="X149" i="1"/>
  <c r="Y78" i="1"/>
  <c r="AM78" i="1" s="1"/>
  <c r="Z135" i="1"/>
  <c r="X86" i="1"/>
  <c r="X166" i="1"/>
  <c r="Z113" i="1"/>
  <c r="AB113" i="1" s="1"/>
  <c r="AL113" i="1" s="1"/>
  <c r="Z104" i="1"/>
  <c r="Z144" i="1"/>
  <c r="AB144" i="1" s="1"/>
  <c r="AL144" i="1" s="1"/>
  <c r="Z150" i="1"/>
  <c r="AB150" i="1" s="1"/>
  <c r="AL150" i="1" s="1"/>
  <c r="X127" i="1"/>
  <c r="Z77" i="1"/>
  <c r="X48" i="1"/>
  <c r="X29" i="1"/>
  <c r="Y81" i="1"/>
  <c r="AM81" i="1" s="1"/>
  <c r="Y52" i="1"/>
  <c r="AM52" i="1" s="1"/>
  <c r="Y65" i="1"/>
  <c r="AM65" i="1" s="1"/>
  <c r="Z56" i="1"/>
  <c r="AA85" i="1"/>
  <c r="Y161" i="1"/>
  <c r="AM161" i="1" s="1"/>
  <c r="Y204" i="1"/>
  <c r="AM204" i="1" s="1"/>
  <c r="X138" i="1"/>
  <c r="AA265" i="1"/>
  <c r="AC265" i="1" s="1"/>
  <c r="AN265" i="1" s="1"/>
  <c r="Z164" i="1"/>
  <c r="Z188" i="1"/>
  <c r="Z235" i="1"/>
  <c r="X222" i="1"/>
  <c r="Z218" i="1"/>
  <c r="Z256" i="1"/>
  <c r="AB256" i="1" s="1"/>
  <c r="AL256" i="1" s="1"/>
  <c r="X254" i="1"/>
  <c r="AA288" i="1"/>
  <c r="AA273" i="1"/>
  <c r="AA312" i="1"/>
  <c r="AA313" i="1"/>
  <c r="AA331" i="1"/>
  <c r="AC331" i="1" s="1"/>
  <c r="AA366" i="1"/>
  <c r="AA360" i="1"/>
  <c r="X59" i="1"/>
  <c r="X64" i="1"/>
  <c r="Z18" i="1"/>
  <c r="AB18" i="1" s="1"/>
  <c r="AL18" i="1" s="1"/>
  <c r="Z48" i="1"/>
  <c r="AA40" i="1"/>
  <c r="AA20" i="1"/>
  <c r="X16" i="1"/>
  <c r="Y358" i="1"/>
  <c r="AM358" i="1" s="1"/>
  <c r="AA368" i="1"/>
  <c r="Y351" i="1"/>
  <c r="AM351" i="1" s="1"/>
  <c r="Z356" i="1"/>
  <c r="AB356" i="1" s="1"/>
  <c r="AL356" i="1" s="1"/>
  <c r="AA349" i="1"/>
  <c r="AA345" i="1"/>
  <c r="AA342" i="1"/>
  <c r="Y345" i="1"/>
  <c r="AM345" i="1" s="1"/>
  <c r="X354" i="1"/>
  <c r="Y372" i="1"/>
  <c r="AM372" i="1" s="1"/>
  <c r="Z332" i="1"/>
  <c r="Y332" i="1"/>
  <c r="AM332" i="1" s="1"/>
  <c r="X332" i="1"/>
  <c r="AA337" i="1"/>
  <c r="AA298" i="1"/>
  <c r="Z302" i="1"/>
  <c r="Y313" i="1"/>
  <c r="AM313" i="1" s="1"/>
  <c r="AA321" i="1"/>
  <c r="X298" i="1"/>
  <c r="AA326" i="1"/>
  <c r="Z280" i="1"/>
  <c r="AB280" i="1" s="1"/>
  <c r="AL280" i="1" s="1"/>
  <c r="Y284" i="1"/>
  <c r="AM284" i="1" s="1"/>
  <c r="AA304" i="1"/>
  <c r="X276" i="1"/>
  <c r="AA282" i="1"/>
  <c r="X282" i="1"/>
  <c r="Y279" i="1"/>
  <c r="AM279" i="1" s="1"/>
  <c r="AA338" i="1"/>
  <c r="Y250" i="1"/>
  <c r="AM250" i="1" s="1"/>
  <c r="X266" i="1"/>
  <c r="AA287" i="1"/>
  <c r="Y251" i="1"/>
  <c r="AM251" i="1" s="1"/>
  <c r="Y235" i="1"/>
  <c r="AM235" i="1" s="1"/>
  <c r="Z264" i="1"/>
  <c r="AA279" i="1"/>
  <c r="AA230" i="1"/>
  <c r="AA210" i="1"/>
  <c r="X243" i="1"/>
  <c r="AA262" i="1"/>
  <c r="Y230" i="1"/>
  <c r="AM230" i="1" s="1"/>
  <c r="Y214" i="1"/>
  <c r="AM214" i="1" s="1"/>
  <c r="AA253" i="1"/>
  <c r="X218" i="1"/>
  <c r="X188" i="1"/>
  <c r="AA220" i="1"/>
  <c r="AA191" i="1"/>
  <c r="Y207" i="1"/>
  <c r="AM207" i="1" s="1"/>
  <c r="Z171" i="1"/>
  <c r="AA187" i="1"/>
  <c r="Z204" i="1"/>
  <c r="AA183" i="1"/>
  <c r="AA151" i="1"/>
  <c r="AA208" i="1"/>
  <c r="Y179" i="1"/>
  <c r="AM179" i="1" s="1"/>
  <c r="X234" i="1"/>
  <c r="X193" i="1"/>
  <c r="AA192" i="1"/>
  <c r="Y192" i="1"/>
  <c r="AM192" i="1" s="1"/>
  <c r="AA165" i="1"/>
  <c r="Z131" i="1"/>
  <c r="Z182" i="1"/>
  <c r="AB182" i="1" s="1"/>
  <c r="AL182" i="1" s="1"/>
  <c r="Y143" i="1"/>
  <c r="AM143" i="1" s="1"/>
  <c r="AA178" i="1"/>
  <c r="AA141" i="1"/>
  <c r="X153" i="1"/>
  <c r="AA130" i="1"/>
  <c r="Y151" i="1"/>
  <c r="AM151" i="1" s="1"/>
  <c r="AA114" i="1"/>
  <c r="Y93" i="1"/>
  <c r="AM93" i="1" s="1"/>
  <c r="Y128" i="1"/>
  <c r="AM128" i="1" s="1"/>
  <c r="X97" i="1"/>
  <c r="Y118" i="1"/>
  <c r="AM118" i="1" s="1"/>
  <c r="Y102" i="1"/>
  <c r="AM102" i="1" s="1"/>
  <c r="Y86" i="1"/>
  <c r="AM86" i="1" s="1"/>
  <c r="AA139" i="1"/>
  <c r="X110" i="1"/>
  <c r="AA172" i="1"/>
  <c r="Y122" i="1"/>
  <c r="AM122" i="1" s="1"/>
  <c r="X63" i="1"/>
  <c r="Y21" i="1"/>
  <c r="AM21" i="1" s="1"/>
  <c r="X372" i="1"/>
  <c r="AA355" i="1"/>
  <c r="Y367" i="1"/>
  <c r="AM367" i="1" s="1"/>
  <c r="AA348" i="1"/>
  <c r="X355" i="1"/>
  <c r="X348" i="1"/>
  <c r="Z343" i="1"/>
  <c r="AB343" i="1" s="1"/>
  <c r="AL343" i="1" s="1"/>
  <c r="Z339" i="1"/>
  <c r="AA340" i="1"/>
  <c r="AA346" i="1"/>
  <c r="AA365" i="1"/>
  <c r="AA324" i="1"/>
  <c r="Z324" i="1"/>
  <c r="AA325" i="1"/>
  <c r="Z329" i="1"/>
  <c r="AB329" i="1" s="1"/>
  <c r="AL329" i="1" s="1"/>
  <c r="AA294" i="1"/>
  <c r="Z298" i="1"/>
  <c r="AA310" i="1"/>
  <c r="X320" i="1"/>
  <c r="AA323" i="1"/>
  <c r="AA314" i="1"/>
  <c r="Z276" i="1"/>
  <c r="AB276" i="1" s="1"/>
  <c r="AL276" i="1" s="1"/>
  <c r="AA281" i="1"/>
  <c r="X300" i="1"/>
  <c r="X272" i="1"/>
  <c r="AA278" i="1"/>
  <c r="X278" i="1"/>
  <c r="AA276" i="1"/>
  <c r="Y271" i="1"/>
  <c r="AM271" i="1" s="1"/>
  <c r="AA247" i="1"/>
  <c r="Z263" i="1"/>
  <c r="AA264" i="1"/>
  <c r="AA248" i="1"/>
  <c r="AA232" i="1"/>
  <c r="X263" i="1"/>
  <c r="Z274" i="1"/>
  <c r="AB274" i="1" s="1"/>
  <c r="AL274" i="1" s="1"/>
  <c r="AA226" i="1"/>
  <c r="Y209" i="1"/>
  <c r="AM209" i="1" s="1"/>
  <c r="X242" i="1"/>
  <c r="Z261" i="1"/>
  <c r="AA227" i="1"/>
  <c r="AA211" i="1"/>
  <c r="X239" i="1"/>
  <c r="Z213" i="1"/>
  <c r="Z185" i="1"/>
  <c r="AB185" i="1" s="1"/>
  <c r="AL185" i="1" s="1"/>
  <c r="AA216" i="1"/>
  <c r="Y190" i="1"/>
  <c r="AM190" i="1" s="1"/>
  <c r="Z199" i="1"/>
  <c r="X170" i="1"/>
  <c r="AA186" i="1"/>
  <c r="Z200" i="1"/>
  <c r="AB200" i="1" s="1"/>
  <c r="AL200" i="1" s="1"/>
  <c r="AA182" i="1"/>
  <c r="AA147" i="1"/>
  <c r="Y215" i="1"/>
  <c r="AM215" i="1" s="1"/>
  <c r="Z178" i="1"/>
  <c r="AA224" i="1"/>
  <c r="AA190" i="1"/>
  <c r="Y188" i="1"/>
  <c r="AM188" i="1" s="1"/>
  <c r="AA189" i="1"/>
  <c r="Z155" i="1"/>
  <c r="Z123" i="1"/>
  <c r="X173" i="1"/>
  <c r="AA140" i="1"/>
  <c r="Z172" i="1"/>
  <c r="AB172" i="1" s="1"/>
  <c r="AL172" i="1" s="1"/>
  <c r="AA137" i="1"/>
  <c r="AA152" i="1"/>
  <c r="AA126" i="1"/>
  <c r="Z147" i="1"/>
  <c r="AA110" i="1"/>
  <c r="AA90" i="1"/>
  <c r="Y127" i="1"/>
  <c r="AM127" i="1" s="1"/>
  <c r="X93" i="1"/>
  <c r="AA115" i="1"/>
  <c r="AA99" i="1"/>
  <c r="AA83" i="1"/>
  <c r="AA136" i="1"/>
  <c r="Z107" i="1"/>
  <c r="AA145" i="1"/>
  <c r="AA121" i="1"/>
  <c r="X99" i="1"/>
  <c r="AA17" i="1"/>
  <c r="AA23" i="1"/>
  <c r="Z68" i="1"/>
  <c r="AB68" i="1" s="1"/>
  <c r="AL68" i="1" s="1"/>
  <c r="X368" i="1"/>
  <c r="Y354" i="1"/>
  <c r="AM354" i="1" s="1"/>
  <c r="AA364" i="1"/>
  <c r="Y347" i="1"/>
  <c r="AM347" i="1" s="1"/>
  <c r="X351" i="1"/>
  <c r="AA344" i="1"/>
  <c r="AA339" i="1"/>
  <c r="Z335" i="1"/>
  <c r="AB335" i="1" s="1"/>
  <c r="AL335" i="1" s="1"/>
  <c r="Y339" i="1"/>
  <c r="AM339" i="1" s="1"/>
  <c r="X370" i="1"/>
  <c r="Z363" i="1"/>
  <c r="AA320" i="1"/>
  <c r="Z320" i="1"/>
  <c r="AB320" i="1" s="1"/>
  <c r="AL320" i="1" s="1"/>
  <c r="Y324" i="1"/>
  <c r="AM324" i="1" s="1"/>
  <c r="AA327" i="1"/>
  <c r="Y360" i="1"/>
  <c r="AM360" i="1" s="1"/>
  <c r="X293" i="1"/>
  <c r="AA307" i="1"/>
  <c r="AA317" i="1"/>
  <c r="X321" i="1"/>
  <c r="AA311" i="1"/>
  <c r="Z272" i="1"/>
  <c r="AB272" i="1" s="1"/>
  <c r="AL272" i="1" s="1"/>
  <c r="Y280" i="1"/>
  <c r="AM280" i="1" s="1"/>
  <c r="Z292" i="1"/>
  <c r="Z269" i="1"/>
  <c r="AA274" i="1"/>
  <c r="AA300" i="1"/>
  <c r="AA272" i="1"/>
  <c r="Y266" i="1"/>
  <c r="AM266" i="1" s="1"/>
  <c r="AA243" i="1"/>
  <c r="Z259" i="1"/>
  <c r="Y263" i="1"/>
  <c r="AM263" i="1" s="1"/>
  <c r="Y247" i="1"/>
  <c r="AM247" i="1" s="1"/>
  <c r="Z312" i="1"/>
  <c r="AB312" i="1" s="1"/>
  <c r="AL312" i="1" s="1"/>
  <c r="Z260" i="1"/>
  <c r="Y257" i="1"/>
  <c r="AM257" i="1" s="1"/>
  <c r="AA222" i="1"/>
  <c r="AA206" i="1"/>
  <c r="Z230" i="1"/>
  <c r="Y260" i="1"/>
  <c r="AM260" i="1" s="1"/>
  <c r="Y226" i="1"/>
  <c r="AM226" i="1" s="1"/>
  <c r="Y210" i="1"/>
  <c r="Z227" i="1"/>
  <c r="AB227" i="1" s="1"/>
  <c r="AL227" i="1" s="1"/>
  <c r="AA209" i="1"/>
  <c r="Z177" i="1"/>
  <c r="Z207" i="1"/>
  <c r="Z317" i="1"/>
  <c r="Z195" i="1"/>
  <c r="AB195" i="1" s="1"/>
  <c r="AL195" i="1" s="1"/>
  <c r="AA258" i="1"/>
  <c r="Y231" i="1"/>
  <c r="AM231" i="1" s="1"/>
  <c r="Z196" i="1"/>
  <c r="AB196" i="1" s="1"/>
  <c r="AL196" i="1" s="1"/>
  <c r="X171" i="1"/>
  <c r="AA266" i="1"/>
  <c r="X235" i="1"/>
  <c r="AA177" i="1"/>
  <c r="Y223" i="1"/>
  <c r="AM223" i="1" s="1"/>
  <c r="X179" i="1"/>
  <c r="X177" i="1"/>
  <c r="Y187" i="1"/>
  <c r="AM187" i="1" s="1"/>
  <c r="AA149" i="1"/>
  <c r="X122" i="1"/>
  <c r="AA164" i="1"/>
  <c r="Y139" i="1"/>
  <c r="AM139" i="1" s="1"/>
  <c r="AA170" i="1"/>
  <c r="Y136" i="1"/>
  <c r="AM136" i="1" s="1"/>
  <c r="AA150" i="1"/>
  <c r="AA122" i="1"/>
  <c r="Y142" i="1"/>
  <c r="AM142" i="1" s="1"/>
  <c r="Y109" i="1"/>
  <c r="AM109" i="1" s="1"/>
  <c r="Y89" i="1"/>
  <c r="AM89" i="1" s="1"/>
  <c r="Z118" i="1"/>
  <c r="Z90" i="1"/>
  <c r="Y114" i="1"/>
  <c r="AM114" i="1" s="1"/>
  <c r="Y98" i="1"/>
  <c r="AM98" i="1" s="1"/>
  <c r="Y82" i="1"/>
  <c r="AM82" i="1" s="1"/>
  <c r="Z124" i="1"/>
  <c r="AB124" i="1" s="1"/>
  <c r="AL124" i="1" s="1"/>
  <c r="X106" i="1"/>
  <c r="Z137" i="1"/>
  <c r="AA143" i="1"/>
  <c r="X364" i="1"/>
  <c r="AA351" i="1"/>
  <c r="Y363" i="1"/>
  <c r="AM363" i="1" s="1"/>
  <c r="Z372" i="1"/>
  <c r="AB372" i="1" s="1"/>
  <c r="AL372" i="1" s="1"/>
  <c r="Z348" i="1"/>
  <c r="AB348" i="1" s="1"/>
  <c r="AL348" i="1" s="1"/>
  <c r="X337" i="1"/>
  <c r="AA335" i="1"/>
  <c r="Z331" i="1"/>
  <c r="AB331" i="1" s="1"/>
  <c r="AL331" i="1" s="1"/>
  <c r="AA336" i="1"/>
  <c r="AA357" i="1"/>
  <c r="AA353" i="1"/>
  <c r="Y319" i="1"/>
  <c r="AM319" i="1" s="1"/>
  <c r="X319" i="1"/>
  <c r="AA369" i="1"/>
  <c r="AA322" i="1"/>
  <c r="AA319" i="1"/>
  <c r="X352" i="1"/>
  <c r="Y306" i="1"/>
  <c r="AM306" i="1" s="1"/>
  <c r="X316" i="1"/>
  <c r="AA318" i="1"/>
  <c r="AC318" i="1" s="1"/>
  <c r="X308" i="1"/>
  <c r="Z321" i="1"/>
  <c r="AA277" i="1"/>
  <c r="Z289" i="1"/>
  <c r="AB289" i="1" s="1"/>
  <c r="AL289" i="1" s="1"/>
  <c r="Y303" i="1"/>
  <c r="AM303" i="1" s="1"/>
  <c r="Y273" i="1"/>
  <c r="AM273" i="1" s="1"/>
  <c r="AA296" i="1"/>
  <c r="AA271" i="1"/>
  <c r="AA263" i="1"/>
  <c r="AA239" i="1"/>
  <c r="Z255" i="1"/>
  <c r="AB255" i="1" s="1"/>
  <c r="AL255" i="1" s="1"/>
  <c r="AA260" i="1"/>
  <c r="AA244" i="1"/>
  <c r="X299" i="1"/>
  <c r="X259" i="1"/>
  <c r="AA249" i="1"/>
  <c r="Y221" i="1"/>
  <c r="AM221" i="1" s="1"/>
  <c r="X289" i="1"/>
  <c r="Z226" i="1"/>
  <c r="Y248" i="1"/>
  <c r="AM248" i="1" s="1"/>
  <c r="AA223" i="1"/>
  <c r="AA207" i="1"/>
  <c r="X226" i="1"/>
  <c r="X208" i="1"/>
  <c r="X176" i="1"/>
  <c r="AA203" i="1"/>
  <c r="AA241" i="1"/>
  <c r="Z187" i="1"/>
  <c r="AB187" i="1" s="1"/>
  <c r="AL187" i="1" s="1"/>
  <c r="Y256" i="1"/>
  <c r="AM256" i="1" s="1"/>
  <c r="Z268" i="1"/>
  <c r="Z192" i="1"/>
  <c r="Y170" i="1"/>
  <c r="AM170" i="1" s="1"/>
  <c r="AA257" i="1"/>
  <c r="AA234" i="1"/>
  <c r="AA176" i="1"/>
  <c r="AA213" i="1"/>
  <c r="Y178" i="1"/>
  <c r="AM178" i="1" s="1"/>
  <c r="AA173" i="1"/>
  <c r="AA179" i="1"/>
  <c r="Y147" i="1"/>
  <c r="AM147" i="1" s="1"/>
  <c r="Y267" i="1"/>
  <c r="AM267" i="1" s="1"/>
  <c r="X156" i="1"/>
  <c r="AA245" i="1"/>
  <c r="Y163" i="1"/>
  <c r="AM163" i="1" s="1"/>
  <c r="AA133" i="1"/>
  <c r="AA142" i="1"/>
  <c r="Y121" i="1"/>
  <c r="AM121" i="1" s="1"/>
  <c r="Y134" i="1"/>
  <c r="AM134" i="1" s="1"/>
  <c r="AA106" i="1"/>
  <c r="AA86" i="1"/>
  <c r="Z114" i="1"/>
  <c r="Y165" i="1"/>
  <c r="AM165" i="1" s="1"/>
  <c r="AA111" i="1"/>
  <c r="AA95" i="1"/>
  <c r="AA184" i="1"/>
  <c r="AA123" i="1"/>
  <c r="Z103" i="1"/>
  <c r="X136" i="1"/>
  <c r="Z116" i="1"/>
  <c r="AB116" i="1" s="1"/>
  <c r="AL116" i="1" s="1"/>
  <c r="AA19" i="1"/>
  <c r="Z67" i="1"/>
  <c r="AA34" i="1"/>
  <c r="AA371" i="1"/>
  <c r="AA343" i="1"/>
  <c r="AA356" i="1"/>
  <c r="Z368" i="1"/>
  <c r="X343" i="1"/>
  <c r="Z362" i="1"/>
  <c r="AB362" i="1" s="1"/>
  <c r="AL362" i="1" s="1"/>
  <c r="AA354" i="1"/>
  <c r="AA361" i="1"/>
  <c r="AA370" i="1"/>
  <c r="Y352" i="1"/>
  <c r="AM352" i="1" s="1"/>
  <c r="Z327" i="1"/>
  <c r="AB327" i="1" s="1"/>
  <c r="AL327" i="1" s="1"/>
  <c r="Y315" i="1"/>
  <c r="AM315" i="1" s="1"/>
  <c r="X315" i="1"/>
  <c r="AA329" i="1"/>
  <c r="AA306" i="1"/>
  <c r="Y314" i="1"/>
  <c r="AM314" i="1" s="1"/>
  <c r="Y322" i="1"/>
  <c r="AM322" i="1" s="1"/>
  <c r="Y302" i="1"/>
  <c r="AM302" i="1" s="1"/>
  <c r="X306" i="1"/>
  <c r="AA305" i="1"/>
  <c r="AA293" i="1"/>
  <c r="AA289" i="1"/>
  <c r="Y272" i="1"/>
  <c r="AM272" i="1" s="1"/>
  <c r="X284" i="1"/>
  <c r="Y292" i="1"/>
  <c r="AM292" i="1" s="1"/>
  <c r="Y312" i="1"/>
  <c r="AM312" i="1" s="1"/>
  <c r="AA284" i="1"/>
  <c r="Z258" i="1"/>
  <c r="AB258" i="1" s="1"/>
  <c r="AL258" i="1" s="1"/>
  <c r="AA255" i="1"/>
  <c r="AA235" i="1"/>
  <c r="Z251" i="1"/>
  <c r="AB251" i="1" s="1"/>
  <c r="AL251" i="1" s="1"/>
  <c r="AA256" i="1"/>
  <c r="AA240" i="1"/>
  <c r="AA295" i="1"/>
  <c r="AC295" i="1" s="1"/>
  <c r="AN295" i="1" s="1"/>
  <c r="X255" i="1"/>
  <c r="AA242" i="1"/>
  <c r="Y217" i="1"/>
  <c r="AM217" i="1" s="1"/>
  <c r="AA250" i="1"/>
  <c r="Z214" i="1"/>
  <c r="AB214" i="1" s="1"/>
  <c r="AL214" i="1" s="1"/>
  <c r="Z239" i="1"/>
  <c r="AB239" i="1" s="1"/>
  <c r="AL239" i="1" s="1"/>
  <c r="AA219" i="1"/>
  <c r="AA268" i="1"/>
  <c r="AA275" i="1"/>
  <c r="AC275" i="1" s="1"/>
  <c r="X200" i="1"/>
  <c r="Z169" i="1"/>
  <c r="AB169" i="1" s="1"/>
  <c r="AL169" i="1" s="1"/>
  <c r="AA199" i="1"/>
  <c r="X227" i="1"/>
  <c r="Z183" i="1"/>
  <c r="AA229" i="1"/>
  <c r="Y252" i="1"/>
  <c r="AM252" i="1" s="1"/>
  <c r="X187" i="1"/>
  <c r="AA163" i="1"/>
  <c r="AA237" i="1"/>
  <c r="X207" i="1"/>
  <c r="X163" i="1"/>
  <c r="X201" i="1"/>
  <c r="AA175" i="1"/>
  <c r="Y168" i="1"/>
  <c r="AM168" i="1" s="1"/>
  <c r="AA169" i="1"/>
  <c r="AC169" i="1" s="1"/>
  <c r="Z139" i="1"/>
  <c r="Y196" i="1"/>
  <c r="AM196" i="1" s="1"/>
  <c r="AA154" i="1"/>
  <c r="AA201" i="1"/>
  <c r="AA161" i="1"/>
  <c r="AA180" i="1"/>
  <c r="Y137" i="1"/>
  <c r="AM137" i="1" s="1"/>
  <c r="AA185" i="1"/>
  <c r="AA127" i="1"/>
  <c r="Y101" i="1"/>
  <c r="AM101" i="1" s="1"/>
  <c r="AA204" i="1"/>
  <c r="X109" i="1"/>
  <c r="X128" i="1"/>
  <c r="AA107" i="1"/>
  <c r="AA91" i="1"/>
  <c r="Z154" i="1"/>
  <c r="AB154" i="1" s="1"/>
  <c r="AL154" i="1" s="1"/>
  <c r="Z115" i="1"/>
  <c r="AB115" i="1" s="1"/>
  <c r="AL115" i="1" s="1"/>
  <c r="Z99" i="1"/>
  <c r="AA131" i="1"/>
  <c r="X111" i="1"/>
  <c r="AA50" i="1"/>
  <c r="X21" i="1"/>
  <c r="X35" i="1"/>
  <c r="Y35" i="1"/>
  <c r="AM35" i="1" s="1"/>
  <c r="AA363" i="1"/>
  <c r="AA372" i="1"/>
  <c r="Y355" i="1"/>
  <c r="X367" i="1"/>
  <c r="AA362" i="1"/>
  <c r="AA358" i="1"/>
  <c r="Z345" i="1"/>
  <c r="AB345" i="1" s="1"/>
  <c r="AL345" i="1" s="1"/>
  <c r="X358" i="1"/>
  <c r="X366" i="1"/>
  <c r="Z347" i="1"/>
  <c r="X318" i="1"/>
  <c r="AA341" i="1"/>
  <c r="Z351" i="1"/>
  <c r="AA328" i="1"/>
  <c r="AA302" i="1"/>
  <c r="X311" i="1"/>
  <c r="Y320" i="1"/>
  <c r="AM320" i="1" s="1"/>
  <c r="AA299" i="1"/>
  <c r="X302" i="1"/>
  <c r="AA301" i="1"/>
  <c r="Z288" i="1"/>
  <c r="Y288" i="1"/>
  <c r="AM288" i="1" s="1"/>
  <c r="AA269" i="1"/>
  <c r="AC269" i="1" s="1"/>
  <c r="X280" i="1"/>
  <c r="AA290" i="1"/>
  <c r="AA308" i="1"/>
  <c r="Y283" i="1"/>
  <c r="AM283" i="1" s="1"/>
  <c r="Z254" i="1"/>
  <c r="AB254" i="1" s="1"/>
  <c r="AL254" i="1" s="1"/>
  <c r="Y254" i="1"/>
  <c r="AM254" i="1" s="1"/>
  <c r="Y234" i="1"/>
  <c r="AM234" i="1" s="1"/>
  <c r="Z247" i="1"/>
  <c r="Y255" i="1"/>
  <c r="AM255" i="1" s="1"/>
  <c r="Y239" i="1"/>
  <c r="AM239" i="1" s="1"/>
  <c r="AA283" i="1"/>
  <c r="Z252" i="1"/>
  <c r="Z237" i="1"/>
  <c r="AB237" i="1" s="1"/>
  <c r="AL237" i="1" s="1"/>
  <c r="AA214" i="1"/>
  <c r="Z248" i="1"/>
  <c r="X213" i="1"/>
  <c r="AA238" i="1"/>
  <c r="Y218" i="1"/>
  <c r="AM218" i="1" s="1"/>
  <c r="AA267" i="1"/>
  <c r="AA233" i="1"/>
  <c r="X196" i="1"/>
  <c r="Y227" i="1"/>
  <c r="AM227" i="1" s="1"/>
  <c r="Y198" i="1"/>
  <c r="AM198" i="1" s="1"/>
  <c r="AA212" i="1"/>
  <c r="Z179" i="1"/>
  <c r="AB179" i="1" s="1"/>
  <c r="AL179" i="1" s="1"/>
  <c r="AA217" i="1"/>
  <c r="X247" i="1"/>
  <c r="Y186" i="1"/>
  <c r="AM186" i="1" s="1"/>
  <c r="AA159" i="1"/>
  <c r="X216" i="1"/>
  <c r="Y205" i="1"/>
  <c r="AM205" i="1" s="1"/>
  <c r="Y16" i="1"/>
  <c r="AM16" i="1" s="1"/>
  <c r="AA29" i="1"/>
  <c r="AA47" i="1"/>
  <c r="AA63" i="1"/>
  <c r="AA92" i="1"/>
  <c r="AA156" i="1"/>
  <c r="X61" i="1"/>
  <c r="Z78" i="1"/>
  <c r="AB78" i="1" s="1"/>
  <c r="AL78" i="1" s="1"/>
  <c r="Y115" i="1"/>
  <c r="AM115" i="1" s="1"/>
  <c r="X133" i="1"/>
  <c r="AA62" i="1"/>
  <c r="AA81" i="1"/>
  <c r="AA108" i="1"/>
  <c r="AA168" i="1"/>
  <c r="AA128" i="1"/>
  <c r="Y36" i="1"/>
  <c r="AM36" i="1" s="1"/>
  <c r="Y56" i="1"/>
  <c r="AM56" i="1" s="1"/>
  <c r="AA73" i="1"/>
  <c r="X71" i="1"/>
  <c r="Z91" i="1"/>
  <c r="AB91" i="1" s="1"/>
  <c r="AL91" i="1" s="1"/>
  <c r="Z161" i="1"/>
  <c r="AB161" i="1" s="1"/>
  <c r="AL161" i="1" s="1"/>
  <c r="AA56" i="1"/>
  <c r="AA72" i="1"/>
  <c r="X92" i="1"/>
  <c r="X95" i="1"/>
  <c r="X124" i="1"/>
  <c r="Z141" i="1"/>
  <c r="Y110" i="1"/>
  <c r="AM110" i="1" s="1"/>
  <c r="Z186" i="1"/>
  <c r="Z162" i="1"/>
  <c r="AB162" i="1" s="1"/>
  <c r="AL162" i="1" s="1"/>
  <c r="X185" i="1"/>
  <c r="X147" i="1"/>
  <c r="AA166" i="1"/>
  <c r="Y177" i="1"/>
  <c r="AM177" i="1" s="1"/>
  <c r="AA221" i="1"/>
  <c r="Y264" i="1"/>
  <c r="AM264" i="1" s="1"/>
  <c r="Y202" i="1"/>
  <c r="AM202" i="1" s="1"/>
  <c r="Y206" i="1"/>
  <c r="AM206" i="1" s="1"/>
  <c r="AA261" i="1"/>
  <c r="Z297" i="1"/>
  <c r="AB297" i="1" s="1"/>
  <c r="AL297" i="1" s="1"/>
  <c r="Y238" i="1"/>
  <c r="AM238" i="1" s="1"/>
  <c r="AA270" i="1"/>
  <c r="AA292" i="1"/>
  <c r="AA303" i="1"/>
  <c r="AA330" i="1"/>
  <c r="X356" i="1"/>
  <c r="X333" i="1"/>
  <c r="AA347" i="1"/>
  <c r="Z29" i="1"/>
  <c r="AA15" i="1"/>
  <c r="AA30" i="1"/>
  <c r="Y50" i="1"/>
  <c r="AM50" i="1" s="1"/>
  <c r="Y66" i="1"/>
  <c r="AM66" i="1" s="1"/>
  <c r="X100" i="1"/>
  <c r="AA160" i="1"/>
  <c r="Z62" i="1"/>
  <c r="X89" i="1"/>
  <c r="Y116" i="1"/>
  <c r="AM116" i="1" s="1"/>
  <c r="AA158" i="1"/>
  <c r="AA66" i="1"/>
  <c r="Z87" i="1"/>
  <c r="AA109" i="1"/>
  <c r="Z69" i="1"/>
  <c r="AB69" i="1" s="1"/>
  <c r="AL69" i="1" s="1"/>
  <c r="Y138" i="1"/>
  <c r="AM138" i="1" s="1"/>
  <c r="AA37" i="1"/>
  <c r="AA57" i="1"/>
  <c r="AA77" i="1"/>
  <c r="Z72" i="1"/>
  <c r="X96" i="1"/>
  <c r="Y43" i="1"/>
  <c r="AM43" i="1" s="1"/>
  <c r="Y59" i="1"/>
  <c r="AM59" i="1" s="1"/>
  <c r="Y75" i="1"/>
  <c r="AM75" i="1" s="1"/>
  <c r="Y96" i="1"/>
  <c r="AM96" i="1" s="1"/>
  <c r="Z96" i="1"/>
  <c r="AB96" i="1" s="1"/>
  <c r="AL96" i="1" s="1"/>
  <c r="Z132" i="1"/>
  <c r="AB132" i="1" s="1"/>
  <c r="AL132" i="1" s="1"/>
  <c r="AA153" i="1"/>
  <c r="AA124" i="1"/>
  <c r="AA82" i="1"/>
  <c r="Y200" i="1"/>
  <c r="AM200" i="1" s="1"/>
  <c r="AA146" i="1"/>
  <c r="Y155" i="1"/>
  <c r="AM155" i="1" s="1"/>
  <c r="Y167" i="1"/>
  <c r="AM167" i="1" s="1"/>
  <c r="AA194" i="1"/>
  <c r="X210" i="1"/>
  <c r="Y203" i="1"/>
  <c r="AM203" i="1" s="1"/>
  <c r="AA225" i="1"/>
  <c r="AA215" i="1"/>
  <c r="Y213" i="1"/>
  <c r="AM213" i="1" s="1"/>
  <c r="AA236" i="1"/>
  <c r="AA251" i="1"/>
  <c r="AA286" i="1"/>
  <c r="Z284" i="1"/>
  <c r="Y316" i="1"/>
  <c r="AM316" i="1" s="1"/>
  <c r="AA334" i="1"/>
  <c r="Z355" i="1"/>
  <c r="AB355" i="1" s="1"/>
  <c r="AL355" i="1" s="1"/>
  <c r="Z353" i="1"/>
  <c r="AA359" i="1"/>
  <c r="Z36" i="1"/>
  <c r="AA31" i="1"/>
  <c r="AA51" i="1"/>
  <c r="AC51" i="1" s="1"/>
  <c r="AA67" i="1"/>
  <c r="X108" i="1"/>
  <c r="Z42" i="1"/>
  <c r="X65" i="1"/>
  <c r="Z97" i="1"/>
  <c r="AB97" i="1" s="1"/>
  <c r="AL97" i="1" s="1"/>
  <c r="Z117" i="1"/>
  <c r="AB117" i="1" s="1"/>
  <c r="AL117" i="1" s="1"/>
  <c r="Z163" i="1"/>
  <c r="AB163" i="1" s="1"/>
  <c r="AL163" i="1" s="1"/>
  <c r="Y69" i="1"/>
  <c r="AM69" i="1" s="1"/>
  <c r="Z88" i="1"/>
  <c r="AA116" i="1"/>
  <c r="X72" i="1"/>
  <c r="Y22" i="1"/>
  <c r="AM22" i="1" s="1"/>
  <c r="Y40" i="1"/>
  <c r="AM40" i="1" s="1"/>
  <c r="Y60" i="1"/>
  <c r="AM60" i="1" s="1"/>
  <c r="X83" i="1"/>
  <c r="X75" i="1"/>
  <c r="X98" i="1"/>
  <c r="AA44" i="1"/>
  <c r="AA60" i="1"/>
  <c r="AA76" i="1"/>
  <c r="AA104" i="1"/>
  <c r="X103" i="1"/>
  <c r="Z180" i="1"/>
  <c r="AB180" i="1" s="1"/>
  <c r="AL180" i="1" s="1"/>
  <c r="Y174" i="1"/>
  <c r="AM174" i="1" s="1"/>
  <c r="AA125" i="1"/>
  <c r="AA94" i="1"/>
  <c r="AA205" i="1"/>
  <c r="AA148" i="1"/>
  <c r="X191" i="1"/>
  <c r="Y171" i="1"/>
  <c r="AM171" i="1" s="1"/>
  <c r="AA198" i="1"/>
  <c r="AA254" i="1"/>
  <c r="Y253" i="1"/>
  <c r="AM253" i="1" s="1"/>
  <c r="X172" i="1"/>
  <c r="Y222" i="1"/>
  <c r="AM222" i="1" s="1"/>
  <c r="AA218" i="1"/>
  <c r="Y243" i="1"/>
  <c r="AM243" i="1" s="1"/>
  <c r="AA259" i="1"/>
  <c r="AA297" i="1"/>
  <c r="X295" i="1"/>
  <c r="X324" i="1"/>
  <c r="Z316" i="1"/>
  <c r="AA332" i="1"/>
  <c r="X347" i="1"/>
  <c r="X360" i="1"/>
  <c r="Z27" i="1"/>
  <c r="AB27" i="1" s="1"/>
  <c r="AL27" i="1" s="1"/>
  <c r="AA42" i="1"/>
  <c r="X27" i="1"/>
  <c r="Y34" i="1"/>
  <c r="AM34" i="1" s="1"/>
  <c r="Y54" i="1"/>
  <c r="AM54" i="1" s="1"/>
  <c r="AA71" i="1"/>
  <c r="X116" i="1"/>
  <c r="X45" i="1"/>
  <c r="X69" i="1"/>
  <c r="Y99" i="1"/>
  <c r="AM99" i="1" s="1"/>
  <c r="Y119" i="1"/>
  <c r="AM119" i="1" s="1"/>
  <c r="Y172" i="1"/>
  <c r="AM172" i="1" s="1"/>
  <c r="AA70" i="1"/>
  <c r="Z89" i="1"/>
  <c r="AB89" i="1" s="1"/>
  <c r="AL89" i="1" s="1"/>
  <c r="AA117" i="1"/>
  <c r="X80" i="1"/>
  <c r="Y24" i="1"/>
  <c r="AM24" i="1" s="1"/>
  <c r="AA41" i="1"/>
  <c r="AA61" i="1"/>
  <c r="Y91" i="1"/>
  <c r="AM91" i="1" s="1"/>
  <c r="X79" i="1"/>
  <c r="Y103" i="1"/>
  <c r="AM103" i="1" s="1"/>
  <c r="Y47" i="1"/>
  <c r="AM47" i="1" s="1"/>
  <c r="Y63" i="1"/>
  <c r="AM63" i="1" s="1"/>
  <c r="Y79" i="1"/>
  <c r="AM79" i="1" s="1"/>
  <c r="AA105" i="1"/>
  <c r="X107" i="1"/>
  <c r="AA197" i="1"/>
  <c r="AA87" i="1"/>
  <c r="Y135" i="1"/>
  <c r="AM135" i="1" s="1"/>
  <c r="AA98" i="1"/>
  <c r="AC98" i="1" s="1"/>
  <c r="Y133" i="1"/>
  <c r="AM133" i="1" s="1"/>
  <c r="AA162" i="1"/>
  <c r="AA193" i="1"/>
  <c r="AA196" i="1"/>
  <c r="AC196" i="1" s="1"/>
  <c r="AA202" i="1"/>
  <c r="AA155" i="1"/>
  <c r="X178" i="1"/>
  <c r="X192" i="1"/>
  <c r="AA231" i="1"/>
  <c r="X232" i="1"/>
  <c r="AA252" i="1"/>
  <c r="Z238" i="1"/>
  <c r="AB238" i="1" s="1"/>
  <c r="AL238" i="1" s="1"/>
  <c r="Z277" i="1"/>
  <c r="AB277" i="1" s="1"/>
  <c r="AL277" i="1" s="1"/>
  <c r="AA333" i="1"/>
  <c r="Z306" i="1"/>
  <c r="AB306" i="1" s="1"/>
  <c r="AL306" i="1" s="1"/>
  <c r="Z336" i="1"/>
  <c r="AB336" i="1" s="1"/>
  <c r="AL336" i="1" s="1"/>
  <c r="AA350" i="1"/>
  <c r="X363" i="1"/>
  <c r="X101" i="1"/>
  <c r="Z82" i="1"/>
  <c r="X23" i="1"/>
  <c r="Z40" i="1"/>
  <c r="X68" i="1"/>
  <c r="Y64" i="1"/>
  <c r="AM64" i="1" s="1"/>
  <c r="X34" i="1"/>
  <c r="Z14" i="1"/>
  <c r="Y80" i="1"/>
  <c r="AM80" i="1" s="1"/>
  <c r="X46" i="1"/>
  <c r="Z100" i="1"/>
  <c r="X37" i="1"/>
  <c r="Y108" i="1"/>
  <c r="AM108" i="1" s="1"/>
  <c r="X82" i="1"/>
  <c r="Y18" i="1"/>
  <c r="AM18" i="1" s="1"/>
  <c r="X15" i="1"/>
  <c r="X36" i="1"/>
  <c r="Z15" i="1"/>
  <c r="AB15" i="1" s="1"/>
  <c r="AL15" i="1" s="1"/>
  <c r="Z32" i="1"/>
  <c r="Z75" i="1"/>
  <c r="X67" i="1"/>
  <c r="X12" i="1"/>
  <c r="Z39" i="1"/>
  <c r="Z31" i="1"/>
  <c r="Y19" i="1"/>
  <c r="AM19" i="1" s="1"/>
  <c r="AA26" i="1"/>
  <c r="Y38" i="1"/>
  <c r="AM38" i="1" s="1"/>
  <c r="Y12" i="1"/>
  <c r="AM12" i="1" s="1"/>
  <c r="AA22" i="1"/>
  <c r="X50" i="1"/>
  <c r="X25" i="1"/>
  <c r="AA13" i="1"/>
  <c r="X30" i="1"/>
  <c r="X117" i="1"/>
  <c r="AA27" i="1"/>
  <c r="Z34" i="1"/>
  <c r="AB34" i="1" s="1"/>
  <c r="AL34" i="1" s="1"/>
  <c r="Z44" i="1"/>
  <c r="AB44" i="1" s="1"/>
  <c r="AL44" i="1" s="1"/>
  <c r="AA46" i="1"/>
  <c r="Z26" i="1"/>
  <c r="AB26" i="1" s="1"/>
  <c r="AL26" i="1" s="1"/>
  <c r="Y14" i="1"/>
  <c r="AM14" i="1" s="1"/>
  <c r="AA367" i="1"/>
  <c r="Z63" i="1"/>
  <c r="X24" i="1"/>
  <c r="Z33" i="1"/>
  <c r="AB33" i="1" s="1"/>
  <c r="AL33" i="1" s="1"/>
  <c r="Z41" i="1"/>
  <c r="AB41" i="1" s="1"/>
  <c r="AL41" i="1" s="1"/>
  <c r="Z20" i="1"/>
  <c r="Y46" i="1"/>
  <c r="AM46" i="1" s="1"/>
  <c r="Y23" i="1"/>
  <c r="AM23" i="1" s="1"/>
  <c r="Z22" i="1"/>
  <c r="AB22" i="1" s="1"/>
  <c r="AL22" i="1" s="1"/>
  <c r="Z19" i="1"/>
  <c r="AA32" i="1"/>
  <c r="AC32" i="1" s="1"/>
  <c r="AN32" i="1" s="1"/>
  <c r="D25" i="1"/>
  <c r="D26" i="1" s="1"/>
  <c r="D27" i="1" s="1"/>
  <c r="AC184" i="1" l="1"/>
  <c r="AC202" i="1"/>
  <c r="AH202" i="1" s="1"/>
  <c r="AK202" i="1" s="1"/>
  <c r="AG318" i="1"/>
  <c r="AN318" i="1"/>
  <c r="AG196" i="1"/>
  <c r="AN196" i="1"/>
  <c r="AG51" i="1"/>
  <c r="AN51" i="1"/>
  <c r="AG169" i="1"/>
  <c r="AN169" i="1"/>
  <c r="AG269" i="1"/>
  <c r="AN269" i="1"/>
  <c r="AG98" i="1"/>
  <c r="AN98" i="1"/>
  <c r="AG184" i="1"/>
  <c r="AN184" i="1"/>
  <c r="AC210" i="1"/>
  <c r="AE210" i="1" s="1"/>
  <c r="AF210" i="1" s="1"/>
  <c r="AM210" i="1"/>
  <c r="AG275" i="1"/>
  <c r="AN275" i="1"/>
  <c r="AG331" i="1"/>
  <c r="AN331" i="1"/>
  <c r="AC144" i="1"/>
  <c r="AE144" i="1" s="1"/>
  <c r="AF144" i="1" s="1"/>
  <c r="AM144" i="1"/>
  <c r="AC355" i="1"/>
  <c r="AD355" i="1" s="1"/>
  <c r="AM355" i="1"/>
  <c r="G53" i="6"/>
  <c r="AB74" i="1"/>
  <c r="AL74" i="1" s="1"/>
  <c r="AB271" i="1"/>
  <c r="AL271" i="1" s="1"/>
  <c r="AB245" i="1"/>
  <c r="AL245" i="1" s="1"/>
  <c r="AB64" i="1"/>
  <c r="AL64" i="1" s="1"/>
  <c r="AB108" i="1"/>
  <c r="AL108" i="1" s="1"/>
  <c r="AB308" i="1"/>
  <c r="AL308" i="1" s="1"/>
  <c r="AC158" i="1"/>
  <c r="AC364" i="1"/>
  <c r="AC357" i="1"/>
  <c r="AD357" i="1" s="1"/>
  <c r="AC285" i="1"/>
  <c r="AB340" i="1"/>
  <c r="AL340" i="1" s="1"/>
  <c r="AB149" i="1"/>
  <c r="AL149" i="1" s="1"/>
  <c r="AC330" i="1"/>
  <c r="AC344" i="1"/>
  <c r="AC312" i="1"/>
  <c r="AB275" i="1"/>
  <c r="AL275" i="1" s="1"/>
  <c r="AB324" i="1"/>
  <c r="AL324" i="1" s="1"/>
  <c r="AB230" i="1"/>
  <c r="AL230" i="1" s="1"/>
  <c r="AB204" i="1"/>
  <c r="AL204" i="1" s="1"/>
  <c r="AB226" i="1"/>
  <c r="AL226" i="1" s="1"/>
  <c r="AC17" i="1"/>
  <c r="AC164" i="1"/>
  <c r="AB347" i="1"/>
  <c r="AL347" i="1" s="1"/>
  <c r="AC118" i="1"/>
  <c r="AC35" i="1"/>
  <c r="AB270" i="1"/>
  <c r="AL270" i="1" s="1"/>
  <c r="AB95" i="1"/>
  <c r="AL95" i="1" s="1"/>
  <c r="AB191" i="1"/>
  <c r="AL191" i="1" s="1"/>
  <c r="AB158" i="1"/>
  <c r="AL158" i="1" s="1"/>
  <c r="AC243" i="1"/>
  <c r="AC166" i="1"/>
  <c r="AC137" i="1"/>
  <c r="AC123" i="1"/>
  <c r="AC249" i="1"/>
  <c r="AC325" i="1"/>
  <c r="AH325" i="1" s="1"/>
  <c r="AK325" i="1" s="1"/>
  <c r="AB137" i="1"/>
  <c r="AL137" i="1" s="1"/>
  <c r="AC73" i="1"/>
  <c r="AB114" i="1"/>
  <c r="AL114" i="1" s="1"/>
  <c r="AB284" i="1"/>
  <c r="AL284" i="1" s="1"/>
  <c r="AB244" i="1"/>
  <c r="AL244" i="1" s="1"/>
  <c r="AB298" i="1"/>
  <c r="AL298" i="1" s="1"/>
  <c r="AC245" i="1"/>
  <c r="AN245" i="1" s="1"/>
  <c r="AC146" i="1"/>
  <c r="AC328" i="1"/>
  <c r="AC180" i="1"/>
  <c r="AC240" i="1"/>
  <c r="AC371" i="1"/>
  <c r="AC353" i="1"/>
  <c r="AC193" i="1"/>
  <c r="AH193" i="1" s="1"/>
  <c r="AK193" i="1" s="1"/>
  <c r="AC59" i="1"/>
  <c r="AC361" i="1"/>
  <c r="AB207" i="1"/>
  <c r="AL207" i="1" s="1"/>
  <c r="AB99" i="1"/>
  <c r="AL99" i="1" s="1"/>
  <c r="AB309" i="1"/>
  <c r="AL309" i="1" s="1"/>
  <c r="AC333" i="1"/>
  <c r="AC369" i="1"/>
  <c r="AB72" i="1"/>
  <c r="AL72" i="1" s="1"/>
  <c r="AC71" i="1"/>
  <c r="AH71" i="1" s="1"/>
  <c r="AK71" i="1" s="1"/>
  <c r="AC214" i="1"/>
  <c r="AC338" i="1"/>
  <c r="AB82" i="1"/>
  <c r="AL82" i="1" s="1"/>
  <c r="AC233" i="1"/>
  <c r="AC204" i="1"/>
  <c r="AC235" i="1"/>
  <c r="AC310" i="1"/>
  <c r="E54" i="6"/>
  <c r="F54" i="6" s="1"/>
  <c r="C54" i="6"/>
  <c r="D54" i="6" s="1"/>
  <c r="AB186" i="1"/>
  <c r="AL186" i="1" s="1"/>
  <c r="AC283" i="1"/>
  <c r="I55" i="6"/>
  <c r="J55" i="6" s="1"/>
  <c r="A56" i="6"/>
  <c r="AC314" i="1"/>
  <c r="AC289" i="1"/>
  <c r="AB248" i="1"/>
  <c r="AL248" i="1" s="1"/>
  <c r="AC342" i="1"/>
  <c r="AC358" i="1"/>
  <c r="AC322" i="1"/>
  <c r="AC274" i="1"/>
  <c r="AC68" i="1"/>
  <c r="AB119" i="1"/>
  <c r="AL119" i="1" s="1"/>
  <c r="AC271" i="1"/>
  <c r="AC97" i="1"/>
  <c r="AC25" i="1"/>
  <c r="AC84" i="1"/>
  <c r="AC220" i="1"/>
  <c r="AC206" i="1"/>
  <c r="AC360" i="1"/>
  <c r="AB299" i="1"/>
  <c r="AL299" i="1" s="1"/>
  <c r="AC66" i="1"/>
  <c r="AC232" i="1"/>
  <c r="AC130" i="1"/>
  <c r="AC192" i="1"/>
  <c r="AB357" i="1"/>
  <c r="AL357" i="1" s="1"/>
  <c r="AB32" i="1"/>
  <c r="AL32" i="1" s="1"/>
  <c r="AC217" i="1"/>
  <c r="AB70" i="1"/>
  <c r="AL70" i="1" s="1"/>
  <c r="AC39" i="1"/>
  <c r="AB159" i="1"/>
  <c r="AL159" i="1" s="1"/>
  <c r="AC372" i="1"/>
  <c r="AC237" i="1"/>
  <c r="AC293" i="1"/>
  <c r="AC329" i="1"/>
  <c r="AC321" i="1"/>
  <c r="AB215" i="1"/>
  <c r="AL215" i="1" s="1"/>
  <c r="AB145" i="1"/>
  <c r="AL145" i="1" s="1"/>
  <c r="AB249" i="1"/>
  <c r="AL249" i="1" s="1"/>
  <c r="AB160" i="1"/>
  <c r="AL160" i="1" s="1"/>
  <c r="AC248" i="1"/>
  <c r="AB264" i="1"/>
  <c r="AL264" i="1" s="1"/>
  <c r="AC186" i="1"/>
  <c r="AB143" i="1"/>
  <c r="AL143" i="1" s="1"/>
  <c r="AC99" i="1"/>
  <c r="AC297" i="1"/>
  <c r="AC286" i="1"/>
  <c r="AC30" i="1"/>
  <c r="AN30" i="1" s="1"/>
  <c r="AC163" i="1"/>
  <c r="AC315" i="1"/>
  <c r="AC86" i="1"/>
  <c r="AC311" i="1"/>
  <c r="AC366" i="1"/>
  <c r="AN366" i="1" s="1"/>
  <c r="AC162" i="1"/>
  <c r="AC177" i="1"/>
  <c r="AC185" i="1"/>
  <c r="AB252" i="1"/>
  <c r="AL252" i="1" s="1"/>
  <c r="AB118" i="1"/>
  <c r="AL118" i="1" s="1"/>
  <c r="AB216" i="1"/>
  <c r="AL216" i="1" s="1"/>
  <c r="AB266" i="1"/>
  <c r="AL266" i="1" s="1"/>
  <c r="AC253" i="1"/>
  <c r="AC208" i="1"/>
  <c r="AN208" i="1" s="1"/>
  <c r="AC104" i="1"/>
  <c r="AC268" i="1"/>
  <c r="AC343" i="1"/>
  <c r="AC300" i="1"/>
  <c r="AC36" i="1"/>
  <c r="AC370" i="1"/>
  <c r="AC65" i="1"/>
  <c r="AB88" i="1"/>
  <c r="AL88" i="1" s="1"/>
  <c r="AB87" i="1"/>
  <c r="AL87" i="1" s="1"/>
  <c r="AB317" i="1"/>
  <c r="AL317" i="1" s="1"/>
  <c r="AB259" i="1"/>
  <c r="AL259" i="1" s="1"/>
  <c r="AB296" i="1"/>
  <c r="AL296" i="1" s="1"/>
  <c r="AC340" i="1"/>
  <c r="AC182" i="1"/>
  <c r="AC23" i="1"/>
  <c r="AB100" i="1"/>
  <c r="AL100" i="1" s="1"/>
  <c r="AC44" i="1"/>
  <c r="AC201" i="1"/>
  <c r="AC83" i="1"/>
  <c r="AC139" i="1"/>
  <c r="AC165" i="1"/>
  <c r="AC93" i="1"/>
  <c r="AC282" i="1"/>
  <c r="AB81" i="1"/>
  <c r="AL81" i="1" s="1"/>
  <c r="AC254" i="1"/>
  <c r="AN254" i="1" s="1"/>
  <c r="AC50" i="1"/>
  <c r="AC34" i="1"/>
  <c r="AC306" i="1"/>
  <c r="AC324" i="1"/>
  <c r="AC228" i="1"/>
  <c r="AC277" i="1"/>
  <c r="AC102" i="1"/>
  <c r="AC89" i="1"/>
  <c r="AC138" i="1"/>
  <c r="AC101" i="1"/>
  <c r="AC188" i="1"/>
  <c r="AC246" i="1"/>
  <c r="AB279" i="1"/>
  <c r="AL279" i="1" s="1"/>
  <c r="AC368" i="1"/>
  <c r="AB267" i="1"/>
  <c r="AL267" i="1" s="1"/>
  <c r="AB206" i="1"/>
  <c r="AL206" i="1" s="1"/>
  <c r="AC346" i="1"/>
  <c r="AB313" i="1"/>
  <c r="AL313" i="1" s="1"/>
  <c r="AB315" i="1"/>
  <c r="AL315" i="1" s="1"/>
  <c r="AC181" i="1"/>
  <c r="AC326" i="1"/>
  <c r="AC303" i="1"/>
  <c r="AC223" i="1"/>
  <c r="AC279" i="1"/>
  <c r="AC125" i="1"/>
  <c r="AC48" i="1"/>
  <c r="AC95" i="1"/>
  <c r="AC152" i="1"/>
  <c r="AC334" i="1"/>
  <c r="AC339" i="1"/>
  <c r="AB307" i="1"/>
  <c r="AL307" i="1" s="1"/>
  <c r="AB104" i="1"/>
  <c r="AL104" i="1" s="1"/>
  <c r="AB223" i="1"/>
  <c r="AL223" i="1" s="1"/>
  <c r="AC241" i="1"/>
  <c r="AC348" i="1"/>
  <c r="AB47" i="1"/>
  <c r="AL47" i="1" s="1"/>
  <c r="AC332" i="1"/>
  <c r="AB42" i="1"/>
  <c r="AL42" i="1" s="1"/>
  <c r="AC136" i="1"/>
  <c r="AB45" i="1"/>
  <c r="AL45" i="1" s="1"/>
  <c r="AB80" i="1"/>
  <c r="AL80" i="1" s="1"/>
  <c r="AB111" i="1"/>
  <c r="AL111" i="1" s="1"/>
  <c r="AC244" i="1"/>
  <c r="AB269" i="1"/>
  <c r="AL269" i="1" s="1"/>
  <c r="AB183" i="1"/>
  <c r="AL183" i="1" s="1"/>
  <c r="AB40" i="1"/>
  <c r="AL40" i="1" s="1"/>
  <c r="AC151" i="1"/>
  <c r="AB184" i="1"/>
  <c r="AL184" i="1" s="1"/>
  <c r="AC227" i="1"/>
  <c r="AC111" i="1"/>
  <c r="AN111" i="1" s="1"/>
  <c r="AB288" i="1"/>
  <c r="AL288" i="1" s="1"/>
  <c r="AC159" i="1"/>
  <c r="AB350" i="1"/>
  <c r="AL350" i="1" s="1"/>
  <c r="AC117" i="1"/>
  <c r="AC76" i="1"/>
  <c r="AC22" i="1"/>
  <c r="AC229" i="1"/>
  <c r="AC150" i="1"/>
  <c r="AC226" i="1"/>
  <c r="AC157" i="1"/>
  <c r="AB155" i="1"/>
  <c r="AL155" i="1" s="1"/>
  <c r="AB351" i="1"/>
  <c r="AL351" i="1" s="1"/>
  <c r="AB131" i="1"/>
  <c r="AL131" i="1" s="1"/>
  <c r="AC33" i="1"/>
  <c r="AB268" i="1"/>
  <c r="AL268" i="1" s="1"/>
  <c r="AB13" i="1"/>
  <c r="AL13" i="1" s="1"/>
  <c r="AC197" i="1"/>
  <c r="AB224" i="1"/>
  <c r="AL224" i="1" s="1"/>
  <c r="AB365" i="1"/>
  <c r="AL365" i="1" s="1"/>
  <c r="AC341" i="1"/>
  <c r="AB241" i="1"/>
  <c r="AL241" i="1" s="1"/>
  <c r="AC299" i="1"/>
  <c r="AC225" i="1"/>
  <c r="AC183" i="1"/>
  <c r="AB164" i="1"/>
  <c r="AL164" i="1" s="1"/>
  <c r="AC260" i="1"/>
  <c r="AB292" i="1"/>
  <c r="AL292" i="1" s="1"/>
  <c r="AC108" i="1"/>
  <c r="AC26" i="1"/>
  <c r="AB90" i="1"/>
  <c r="AL90" i="1" s="1"/>
  <c r="AB152" i="1"/>
  <c r="AL152" i="1" s="1"/>
  <c r="AB67" i="1"/>
  <c r="AL67" i="1" s="1"/>
  <c r="AB293" i="1"/>
  <c r="AL293" i="1" s="1"/>
  <c r="AB310" i="1"/>
  <c r="AL310" i="1" s="1"/>
  <c r="AB367" i="1"/>
  <c r="AL367" i="1" s="1"/>
  <c r="AB142" i="1"/>
  <c r="AL142" i="1" s="1"/>
  <c r="AB369" i="1"/>
  <c r="AL369" i="1" s="1"/>
  <c r="AC367" i="1"/>
  <c r="AC194" i="1"/>
  <c r="AC77" i="1"/>
  <c r="AC224" i="1"/>
  <c r="AC264" i="1"/>
  <c r="AC230" i="1"/>
  <c r="AC87" i="1"/>
  <c r="AC351" i="1"/>
  <c r="AB147" i="1"/>
  <c r="AL147" i="1" s="1"/>
  <c r="AC273" i="1"/>
  <c r="AB213" i="1"/>
  <c r="AL213" i="1" s="1"/>
  <c r="AB332" i="1"/>
  <c r="AL332" i="1" s="1"/>
  <c r="AC256" i="1"/>
  <c r="AB341" i="1"/>
  <c r="AL341" i="1" s="1"/>
  <c r="AB295" i="1"/>
  <c r="AL295" i="1" s="1"/>
  <c r="AB360" i="1"/>
  <c r="AL360" i="1" s="1"/>
  <c r="AC195" i="1"/>
  <c r="AC24" i="1"/>
  <c r="AC60" i="1"/>
  <c r="AC57" i="1"/>
  <c r="AC15" i="1"/>
  <c r="AC29" i="1"/>
  <c r="AC263" i="1"/>
  <c r="AC149" i="1"/>
  <c r="AC20" i="1"/>
  <c r="AC114" i="1"/>
  <c r="AB66" i="1"/>
  <c r="AL66" i="1" s="1"/>
  <c r="AC350" i="1"/>
  <c r="AN350" i="1" s="1"/>
  <c r="AC359" i="1"/>
  <c r="AC37" i="1"/>
  <c r="AC212" i="1"/>
  <c r="AC317" i="1"/>
  <c r="AC145" i="1"/>
  <c r="AC191" i="1"/>
  <c r="AC281" i="1"/>
  <c r="AC85" i="1"/>
  <c r="AC316" i="1"/>
  <c r="AC69" i="1"/>
  <c r="AC135" i="1"/>
  <c r="AC67" i="1"/>
  <c r="AB228" i="1"/>
  <c r="AL228" i="1" s="1"/>
  <c r="AC173" i="1"/>
  <c r="AC91" i="1"/>
  <c r="AC49" i="1"/>
  <c r="AC74" i="1"/>
  <c r="AC119" i="1"/>
  <c r="AC47" i="1"/>
  <c r="AC349" i="1"/>
  <c r="AC335" i="1"/>
  <c r="AB177" i="1"/>
  <c r="AL177" i="1" s="1"/>
  <c r="AC336" i="1"/>
  <c r="AB290" i="1"/>
  <c r="AL290" i="1" s="1"/>
  <c r="AC207" i="1"/>
  <c r="AC221" i="1"/>
  <c r="AN221" i="1" s="1"/>
  <c r="AC203" i="1"/>
  <c r="AC222" i="1"/>
  <c r="AC251" i="1"/>
  <c r="AC92" i="1"/>
  <c r="AC160" i="1"/>
  <c r="AC211" i="1"/>
  <c r="AC356" i="1"/>
  <c r="AC43" i="1"/>
  <c r="AC53" i="1"/>
  <c r="AC52" i="1"/>
  <c r="AC280" i="1"/>
  <c r="AC55" i="1"/>
  <c r="AC113" i="1"/>
  <c r="AB103" i="1"/>
  <c r="AL103" i="1" s="1"/>
  <c r="AB246" i="1"/>
  <c r="AL246" i="1" s="1"/>
  <c r="AC148" i="1"/>
  <c r="AC307" i="1"/>
  <c r="AB197" i="1"/>
  <c r="AL197" i="1" s="1"/>
  <c r="AC267" i="1"/>
  <c r="AC142" i="1"/>
  <c r="AC72" i="1"/>
  <c r="AC28" i="1"/>
  <c r="AB178" i="1"/>
  <c r="AL178" i="1" s="1"/>
  <c r="AB156" i="1"/>
  <c r="AL156" i="1" s="1"/>
  <c r="AB361" i="1"/>
  <c r="AL361" i="1" s="1"/>
  <c r="AC276" i="1"/>
  <c r="AB79" i="1"/>
  <c r="AL79" i="1" s="1"/>
  <c r="AB263" i="1"/>
  <c r="AL263" i="1" s="1"/>
  <c r="AB201" i="1"/>
  <c r="AL201" i="1" s="1"/>
  <c r="AC126" i="1"/>
  <c r="AC179" i="1"/>
  <c r="AB128" i="1"/>
  <c r="AL128" i="1" s="1"/>
  <c r="AC70" i="1"/>
  <c r="AB54" i="1"/>
  <c r="AL54" i="1" s="1"/>
  <c r="AC42" i="1"/>
  <c r="AN42" i="1" s="1"/>
  <c r="AC190" i="1"/>
  <c r="AC178" i="1"/>
  <c r="AC41" i="1"/>
  <c r="AC174" i="1"/>
  <c r="AC309" i="1"/>
  <c r="AC100" i="1"/>
  <c r="AC120" i="1"/>
  <c r="AC112" i="1"/>
  <c r="AC141" i="1"/>
  <c r="AC62" i="1"/>
  <c r="AB77" i="1"/>
  <c r="AL77" i="1" s="1"/>
  <c r="AC247" i="1"/>
  <c r="AC266" i="1"/>
  <c r="AB302" i="1"/>
  <c r="AL302" i="1" s="1"/>
  <c r="AC94" i="1"/>
  <c r="AC21" i="1"/>
  <c r="AC80" i="1"/>
  <c r="AB140" i="1"/>
  <c r="AL140" i="1" s="1"/>
  <c r="AB339" i="1"/>
  <c r="AL339" i="1" s="1"/>
  <c r="AB217" i="1"/>
  <c r="AL217" i="1" s="1"/>
  <c r="AC132" i="1"/>
  <c r="AN132" i="1" s="1"/>
  <c r="AB138" i="1"/>
  <c r="AL138" i="1" s="1"/>
  <c r="AB61" i="1"/>
  <c r="AL61" i="1" s="1"/>
  <c r="AB171" i="1"/>
  <c r="AL171" i="1" s="1"/>
  <c r="AB141" i="1"/>
  <c r="AL141" i="1" s="1"/>
  <c r="AB46" i="1"/>
  <c r="AL46" i="1" s="1"/>
  <c r="AC105" i="1"/>
  <c r="AB328" i="1"/>
  <c r="AL328" i="1" s="1"/>
  <c r="AB311" i="1"/>
  <c r="AL311" i="1" s="1"/>
  <c r="AC236" i="1"/>
  <c r="AC168" i="1"/>
  <c r="AC352" i="1"/>
  <c r="AC90" i="1"/>
  <c r="AC216" i="1"/>
  <c r="AC337" i="1"/>
  <c r="AC345" i="1"/>
  <c r="AC313" i="1"/>
  <c r="AC31" i="1"/>
  <c r="AC88" i="1"/>
  <c r="AC54" i="1"/>
  <c r="AC103" i="1"/>
  <c r="AC78" i="1"/>
  <c r="AC189" i="1"/>
  <c r="AC323" i="1"/>
  <c r="AB326" i="1"/>
  <c r="AL326" i="1" s="1"/>
  <c r="AB236" i="1"/>
  <c r="AL236" i="1" s="1"/>
  <c r="AB257" i="1"/>
  <c r="AL257" i="1" s="1"/>
  <c r="AB325" i="1"/>
  <c r="AL325" i="1" s="1"/>
  <c r="AB291" i="1"/>
  <c r="AL291" i="1" s="1"/>
  <c r="AB167" i="1"/>
  <c r="AL167" i="1" s="1"/>
  <c r="AB205" i="1"/>
  <c r="AL205" i="1" s="1"/>
  <c r="AC218" i="1"/>
  <c r="AC347" i="1"/>
  <c r="AC198" i="1"/>
  <c r="AC175" i="1"/>
  <c r="AC296" i="1"/>
  <c r="AC110" i="1"/>
  <c r="AC261" i="1"/>
  <c r="AC131" i="1"/>
  <c r="AC124" i="1"/>
  <c r="AC45" i="1"/>
  <c r="AC58" i="1"/>
  <c r="AC61" i="1"/>
  <c r="AC200" i="1"/>
  <c r="AC259" i="1"/>
  <c r="AB83" i="1"/>
  <c r="AL83" i="1" s="1"/>
  <c r="AB199" i="1"/>
  <c r="AL199" i="1" s="1"/>
  <c r="AC161" i="1"/>
  <c r="AC239" i="1"/>
  <c r="AB218" i="1"/>
  <c r="AL218" i="1" s="1"/>
  <c r="AC171" i="1"/>
  <c r="AB261" i="1"/>
  <c r="AL261" i="1" s="1"/>
  <c r="AB368" i="1"/>
  <c r="AL368" i="1" s="1"/>
  <c r="AC258" i="1"/>
  <c r="AB318" i="1"/>
  <c r="AL318" i="1" s="1"/>
  <c r="AC129" i="1"/>
  <c r="AC14" i="1"/>
  <c r="AC109" i="1"/>
  <c r="AB321" i="1"/>
  <c r="AL321" i="1" s="1"/>
  <c r="AC301" i="1"/>
  <c r="AB139" i="1"/>
  <c r="AL139" i="1" s="1"/>
  <c r="AC291" i="1"/>
  <c r="AB76" i="1"/>
  <c r="AL76" i="1" s="1"/>
  <c r="AB364" i="1"/>
  <c r="AL364" i="1" s="1"/>
  <c r="AB232" i="1"/>
  <c r="AL232" i="1" s="1"/>
  <c r="AC362" i="1"/>
  <c r="AC290" i="1"/>
  <c r="AC365" i="1"/>
  <c r="AC219" i="1"/>
  <c r="AC153" i="1"/>
  <c r="AC327" i="1"/>
  <c r="AC116" i="1"/>
  <c r="AB50" i="1"/>
  <c r="AL50" i="1" s="1"/>
  <c r="AB352" i="1"/>
  <c r="AL352" i="1" s="1"/>
  <c r="AC270" i="1"/>
  <c r="AB135" i="1"/>
  <c r="AL135" i="1" s="1"/>
  <c r="AB234" i="1"/>
  <c r="AL234" i="1" s="1"/>
  <c r="AB301" i="1"/>
  <c r="AL301" i="1" s="1"/>
  <c r="AC255" i="1"/>
  <c r="AC167" i="1"/>
  <c r="AC292" i="1"/>
  <c r="AC215" i="1"/>
  <c r="AC75" i="1"/>
  <c r="AB17" i="1"/>
  <c r="AL17" i="1" s="1"/>
  <c r="AB176" i="1"/>
  <c r="AL176" i="1" s="1"/>
  <c r="AB112" i="1"/>
  <c r="AL112" i="1" s="1"/>
  <c r="AB193" i="1"/>
  <c r="AL193" i="1" s="1"/>
  <c r="AB121" i="1"/>
  <c r="AL121" i="1" s="1"/>
  <c r="AB127" i="1"/>
  <c r="AL127" i="1" s="1"/>
  <c r="AB287" i="1"/>
  <c r="AL287" i="1" s="1"/>
  <c r="AB24" i="1"/>
  <c r="AL24" i="1" s="1"/>
  <c r="AB148" i="1"/>
  <c r="AL148" i="1" s="1"/>
  <c r="AB212" i="1"/>
  <c r="AL212" i="1" s="1"/>
  <c r="AB344" i="1"/>
  <c r="AL344" i="1" s="1"/>
  <c r="AB56" i="1"/>
  <c r="AL56" i="1" s="1"/>
  <c r="AB211" i="1"/>
  <c r="AL211" i="1" s="1"/>
  <c r="AC156" i="1"/>
  <c r="AC284" i="1"/>
  <c r="AN284" i="1" s="1"/>
  <c r="AC121" i="1"/>
  <c r="AB48" i="1"/>
  <c r="AL48" i="1" s="1"/>
  <c r="AB102" i="1"/>
  <c r="AL102" i="1" s="1"/>
  <c r="AB316" i="1"/>
  <c r="AL316" i="1" s="1"/>
  <c r="AB62" i="1"/>
  <c r="AL62" i="1" s="1"/>
  <c r="AC234" i="1"/>
  <c r="AB304" i="1"/>
  <c r="AL304" i="1" s="1"/>
  <c r="AB349" i="1"/>
  <c r="AL349" i="1" s="1"/>
  <c r="AC199" i="1"/>
  <c r="AC81" i="1"/>
  <c r="AC27" i="1"/>
  <c r="AC38" i="1"/>
  <c r="AB363" i="1"/>
  <c r="AL363" i="1" s="1"/>
  <c r="AB38" i="1"/>
  <c r="AL38" i="1" s="1"/>
  <c r="AB247" i="1"/>
  <c r="AL247" i="1" s="1"/>
  <c r="AB51" i="1"/>
  <c r="AL51" i="1" s="1"/>
  <c r="AB337" i="1"/>
  <c r="AL337" i="1" s="1"/>
  <c r="AC176" i="1"/>
  <c r="AC242" i="1"/>
  <c r="AC107" i="1"/>
  <c r="AB188" i="1"/>
  <c r="AL188" i="1" s="1"/>
  <c r="AC205" i="1"/>
  <c r="AB57" i="1"/>
  <c r="AL57" i="1" s="1"/>
  <c r="AC294" i="1"/>
  <c r="AB92" i="1"/>
  <c r="AL92" i="1" s="1"/>
  <c r="AB242" i="1"/>
  <c r="AL242" i="1" s="1"/>
  <c r="AC305" i="1"/>
  <c r="AC154" i="1"/>
  <c r="AB58" i="1"/>
  <c r="AL58" i="1" s="1"/>
  <c r="AC278" i="1"/>
  <c r="AC308" i="1"/>
  <c r="AB192" i="1"/>
  <c r="AL192" i="1" s="1"/>
  <c r="AC122" i="1"/>
  <c r="AC115" i="1"/>
  <c r="AC363" i="1"/>
  <c r="AB353" i="1"/>
  <c r="AL353" i="1" s="1"/>
  <c r="AC13" i="1"/>
  <c r="AC106" i="1"/>
  <c r="AC140" i="1"/>
  <c r="AN140" i="1" s="1"/>
  <c r="AC262" i="1"/>
  <c r="AC287" i="1"/>
  <c r="AC304" i="1"/>
  <c r="AC298" i="1"/>
  <c r="AC302" i="1"/>
  <c r="AC128" i="1"/>
  <c r="AC143" i="1"/>
  <c r="AC231" i="1"/>
  <c r="AC172" i="1"/>
  <c r="AC250" i="1"/>
  <c r="AC272" i="1"/>
  <c r="AC320" i="1"/>
  <c r="AC127" i="1"/>
  <c r="AB235" i="1"/>
  <c r="AL235" i="1" s="1"/>
  <c r="AC63" i="1"/>
  <c r="AC134" i="1"/>
  <c r="AB29" i="1"/>
  <c r="AL29" i="1" s="1"/>
  <c r="AC18" i="1"/>
  <c r="AC46" i="1"/>
  <c r="AC82" i="1"/>
  <c r="AC170" i="1"/>
  <c r="AC40" i="1"/>
  <c r="AB107" i="1"/>
  <c r="AL107" i="1" s="1"/>
  <c r="AC238" i="1"/>
  <c r="AC354" i="1"/>
  <c r="AC319" i="1"/>
  <c r="AC209" i="1"/>
  <c r="AC64" i="1"/>
  <c r="AC187" i="1"/>
  <c r="AB260" i="1"/>
  <c r="AL260" i="1" s="1"/>
  <c r="AC252" i="1"/>
  <c r="AN252" i="1" s="1"/>
  <c r="AB14" i="1"/>
  <c r="AL14" i="1" s="1"/>
  <c r="AC213" i="1"/>
  <c r="AC79" i="1"/>
  <c r="AC96" i="1"/>
  <c r="AB36" i="1"/>
  <c r="AL36" i="1" s="1"/>
  <c r="AC155" i="1"/>
  <c r="AC288" i="1"/>
  <c r="AC257" i="1"/>
  <c r="AC16" i="1"/>
  <c r="AC147" i="1"/>
  <c r="AC56" i="1"/>
  <c r="AN56" i="1" s="1"/>
  <c r="AB123" i="1"/>
  <c r="AL123" i="1" s="1"/>
  <c r="AC133" i="1"/>
  <c r="AB20" i="1"/>
  <c r="AL20" i="1" s="1"/>
  <c r="AB19" i="1"/>
  <c r="AL19" i="1" s="1"/>
  <c r="AB63" i="1"/>
  <c r="AL63" i="1" s="1"/>
  <c r="AC19" i="1"/>
  <c r="AB31" i="1"/>
  <c r="AL31" i="1" s="1"/>
  <c r="AB39" i="1"/>
  <c r="AL39" i="1" s="1"/>
  <c r="AG12" i="1"/>
  <c r="AD12" i="1"/>
  <c r="AH12" i="1"/>
  <c r="AK12" i="1" s="1"/>
  <c r="AB75" i="1"/>
  <c r="AL75" i="1" s="1"/>
  <c r="AF12" i="1"/>
  <c r="AH32" i="1"/>
  <c r="AK32" i="1" s="1"/>
  <c r="AE32" i="1"/>
  <c r="AF32" i="1" s="1"/>
  <c r="AD32" i="1"/>
  <c r="AH295" i="1"/>
  <c r="AK295" i="1" s="1"/>
  <c r="AE295" i="1"/>
  <c r="AF295" i="1" s="1"/>
  <c r="AD295" i="1"/>
  <c r="AG32" i="1"/>
  <c r="AE318" i="1"/>
  <c r="AF318" i="1" s="1"/>
  <c r="AD318" i="1"/>
  <c r="AH318" i="1"/>
  <c r="AK318" i="1" s="1"/>
  <c r="AE51" i="1"/>
  <c r="AF51" i="1" s="1"/>
  <c r="AD51" i="1"/>
  <c r="AH51" i="1"/>
  <c r="AK51" i="1" s="1"/>
  <c r="AH169" i="1"/>
  <c r="AK169" i="1" s="1"/>
  <c r="AD169" i="1"/>
  <c r="AE169" i="1"/>
  <c r="AF169" i="1" s="1"/>
  <c r="AE275" i="1"/>
  <c r="AF275" i="1" s="1"/>
  <c r="AD275" i="1"/>
  <c r="AH275" i="1"/>
  <c r="AK275" i="1" s="1"/>
  <c r="AH269" i="1"/>
  <c r="AK269" i="1" s="1"/>
  <c r="AD269" i="1"/>
  <c r="AE269" i="1"/>
  <c r="AF269" i="1" s="1"/>
  <c r="AE265" i="1"/>
  <c r="AF265" i="1" s="1"/>
  <c r="AD265" i="1"/>
  <c r="AH265" i="1"/>
  <c r="AK265" i="1" s="1"/>
  <c r="AH98" i="1"/>
  <c r="AK98" i="1" s="1"/>
  <c r="AD98" i="1"/>
  <c r="AE98" i="1"/>
  <c r="AF98" i="1" s="1"/>
  <c r="AD196" i="1"/>
  <c r="AH196" i="1"/>
  <c r="AK196" i="1" s="1"/>
  <c r="AE196" i="1"/>
  <c r="AF196" i="1" s="1"/>
  <c r="AH331" i="1"/>
  <c r="AK331" i="1" s="1"/>
  <c r="AD331" i="1"/>
  <c r="AE331" i="1"/>
  <c r="AF331" i="1" s="1"/>
  <c r="AH357" i="1"/>
  <c r="AK357" i="1" s="1"/>
  <c r="AE355" i="1"/>
  <c r="AF355" i="1" s="1"/>
  <c r="AE184" i="1"/>
  <c r="AF184" i="1" s="1"/>
  <c r="AD184" i="1"/>
  <c r="AH184" i="1"/>
  <c r="AK184" i="1" s="1"/>
  <c r="AG265" i="1"/>
  <c r="AG295" i="1"/>
  <c r="AG193" i="1" l="1"/>
  <c r="AD144" i="1"/>
  <c r="AN202" i="1"/>
  <c r="AG202" i="1"/>
  <c r="AE202" i="1"/>
  <c r="AF202" i="1" s="1"/>
  <c r="AD202" i="1"/>
  <c r="AH355" i="1"/>
  <c r="AK355" i="1" s="1"/>
  <c r="AH245" i="1"/>
  <c r="AK245" i="1" s="1"/>
  <c r="AD245" i="1"/>
  <c r="AG245" i="1"/>
  <c r="AH144" i="1"/>
  <c r="AK144" i="1" s="1"/>
  <c r="AG320" i="1"/>
  <c r="AN320" i="1"/>
  <c r="AG110" i="1"/>
  <c r="AN110" i="1"/>
  <c r="AG191" i="1"/>
  <c r="AN191" i="1"/>
  <c r="AD225" i="1"/>
  <c r="AN225" i="1"/>
  <c r="AG125" i="1"/>
  <c r="AN125" i="1"/>
  <c r="AG342" i="1"/>
  <c r="AN342" i="1"/>
  <c r="AG301" i="1"/>
  <c r="AN301" i="1"/>
  <c r="AG155" i="1"/>
  <c r="AN155" i="1"/>
  <c r="AG187" i="1"/>
  <c r="AN187" i="1"/>
  <c r="AG170" i="1"/>
  <c r="AN170" i="1"/>
  <c r="AG127" i="1"/>
  <c r="AN127" i="1"/>
  <c r="AG302" i="1"/>
  <c r="AN302" i="1"/>
  <c r="AE154" i="1"/>
  <c r="AF154" i="1" s="1"/>
  <c r="AN154" i="1"/>
  <c r="AG107" i="1"/>
  <c r="AN107" i="1"/>
  <c r="AG38" i="1"/>
  <c r="AN38" i="1"/>
  <c r="AG153" i="1"/>
  <c r="AN153" i="1"/>
  <c r="AG291" i="1"/>
  <c r="AN291" i="1"/>
  <c r="AG258" i="1"/>
  <c r="AN258" i="1"/>
  <c r="AG261" i="1"/>
  <c r="AN261" i="1"/>
  <c r="AG78" i="1"/>
  <c r="AN78" i="1"/>
  <c r="AG216" i="1"/>
  <c r="AN216" i="1"/>
  <c r="AG62" i="1"/>
  <c r="AN62" i="1"/>
  <c r="AG178" i="1"/>
  <c r="AN178" i="1"/>
  <c r="AG72" i="1"/>
  <c r="AN72" i="1"/>
  <c r="AG113" i="1"/>
  <c r="AN113" i="1"/>
  <c r="AG160" i="1"/>
  <c r="AN160" i="1"/>
  <c r="AD336" i="1"/>
  <c r="AN336" i="1"/>
  <c r="AE91" i="1"/>
  <c r="AF91" i="1" s="1"/>
  <c r="AN91" i="1"/>
  <c r="AG281" i="1"/>
  <c r="AN281" i="1"/>
  <c r="AG60" i="1"/>
  <c r="AN60" i="1"/>
  <c r="AG77" i="1"/>
  <c r="AN77" i="1"/>
  <c r="AG183" i="1"/>
  <c r="AN183" i="1"/>
  <c r="AG150" i="1"/>
  <c r="AN150" i="1"/>
  <c r="AG241" i="1"/>
  <c r="AN241" i="1"/>
  <c r="AG48" i="1"/>
  <c r="AN48" i="1"/>
  <c r="AD101" i="1"/>
  <c r="AN101" i="1"/>
  <c r="AG34" i="1"/>
  <c r="AN34" i="1"/>
  <c r="AG83" i="1"/>
  <c r="AN83" i="1"/>
  <c r="AG343" i="1"/>
  <c r="AN343" i="1"/>
  <c r="AG163" i="1"/>
  <c r="AN163" i="1"/>
  <c r="AG248" i="1"/>
  <c r="AN248" i="1"/>
  <c r="AG237" i="1"/>
  <c r="AN237" i="1"/>
  <c r="AG192" i="1"/>
  <c r="AN192" i="1"/>
  <c r="AG84" i="1"/>
  <c r="AN84" i="1"/>
  <c r="AG358" i="1"/>
  <c r="AN358" i="1"/>
  <c r="AG283" i="1"/>
  <c r="AN283" i="1"/>
  <c r="AG180" i="1"/>
  <c r="AN180" i="1"/>
  <c r="AG73" i="1"/>
  <c r="AN73" i="1"/>
  <c r="AG17" i="1"/>
  <c r="AN17" i="1"/>
  <c r="AG330" i="1"/>
  <c r="AN330" i="1"/>
  <c r="AG133" i="1"/>
  <c r="AN133" i="1"/>
  <c r="AG363" i="1"/>
  <c r="AN363" i="1"/>
  <c r="AH259" i="1"/>
  <c r="AK259" i="1" s="1"/>
  <c r="AN259" i="1"/>
  <c r="AG141" i="1"/>
  <c r="AN141" i="1"/>
  <c r="AG173" i="1"/>
  <c r="AN173" i="1"/>
  <c r="AG96" i="1"/>
  <c r="AN96" i="1"/>
  <c r="AG272" i="1"/>
  <c r="AN272" i="1"/>
  <c r="AG176" i="1"/>
  <c r="AN176" i="1"/>
  <c r="AG365" i="1"/>
  <c r="AN365" i="1"/>
  <c r="AG296" i="1"/>
  <c r="AN296" i="1"/>
  <c r="AG54" i="1"/>
  <c r="AN54" i="1"/>
  <c r="AG112" i="1"/>
  <c r="AN112" i="1"/>
  <c r="AG280" i="1"/>
  <c r="AN280" i="1"/>
  <c r="AH20" i="1"/>
  <c r="AN20" i="1"/>
  <c r="AG33" i="1"/>
  <c r="AN33" i="1"/>
  <c r="AG89" i="1"/>
  <c r="AN89" i="1"/>
  <c r="AG44" i="1"/>
  <c r="AN44" i="1"/>
  <c r="AG104" i="1"/>
  <c r="AN104" i="1"/>
  <c r="AD286" i="1"/>
  <c r="AN286" i="1"/>
  <c r="AG97" i="1"/>
  <c r="AN97" i="1"/>
  <c r="AG214" i="1"/>
  <c r="AN214" i="1"/>
  <c r="AG146" i="1"/>
  <c r="AN146" i="1"/>
  <c r="AG79" i="1"/>
  <c r="AN79" i="1"/>
  <c r="AD319" i="1"/>
  <c r="AN319" i="1"/>
  <c r="AG18" i="1"/>
  <c r="AN18" i="1"/>
  <c r="AG250" i="1"/>
  <c r="AN250" i="1"/>
  <c r="AD287" i="1"/>
  <c r="AN287" i="1"/>
  <c r="AG122" i="1"/>
  <c r="AN122" i="1"/>
  <c r="AG199" i="1"/>
  <c r="AN199" i="1"/>
  <c r="AG121" i="1"/>
  <c r="AN121" i="1"/>
  <c r="AG75" i="1"/>
  <c r="AN75" i="1"/>
  <c r="AG270" i="1"/>
  <c r="AN270" i="1"/>
  <c r="AG290" i="1"/>
  <c r="AN290" i="1"/>
  <c r="AG171" i="1"/>
  <c r="AN171" i="1"/>
  <c r="AG61" i="1"/>
  <c r="AN61" i="1"/>
  <c r="AG175" i="1"/>
  <c r="AN175" i="1"/>
  <c r="AE88" i="1"/>
  <c r="AF88" i="1" s="1"/>
  <c r="AN88" i="1"/>
  <c r="AG168" i="1"/>
  <c r="AN168" i="1"/>
  <c r="AG94" i="1"/>
  <c r="AN94" i="1"/>
  <c r="AH120" i="1"/>
  <c r="AK120" i="1" s="1"/>
  <c r="AN120" i="1"/>
  <c r="AH276" i="1"/>
  <c r="AK276" i="1" s="1"/>
  <c r="AN276" i="1"/>
  <c r="AG52" i="1"/>
  <c r="AN52" i="1"/>
  <c r="AG222" i="1"/>
  <c r="AN222" i="1"/>
  <c r="AG349" i="1"/>
  <c r="AN349" i="1"/>
  <c r="AG67" i="1"/>
  <c r="AN67" i="1"/>
  <c r="AG317" i="1"/>
  <c r="AN317" i="1"/>
  <c r="AG149" i="1"/>
  <c r="AN149" i="1"/>
  <c r="AD351" i="1"/>
  <c r="AN351" i="1"/>
  <c r="AG26" i="1"/>
  <c r="AN26" i="1"/>
  <c r="AG76" i="1"/>
  <c r="AN76" i="1"/>
  <c r="AH151" i="1"/>
  <c r="AK151" i="1" s="1"/>
  <c r="AN151" i="1"/>
  <c r="AG136" i="1"/>
  <c r="AN136" i="1"/>
  <c r="AG223" i="1"/>
  <c r="AN223" i="1"/>
  <c r="AG102" i="1"/>
  <c r="AN102" i="1"/>
  <c r="AG162" i="1"/>
  <c r="AN162" i="1"/>
  <c r="AG297" i="1"/>
  <c r="AN297" i="1"/>
  <c r="AG39" i="1"/>
  <c r="AN39" i="1"/>
  <c r="AG66" i="1"/>
  <c r="AN66" i="1"/>
  <c r="AG271" i="1"/>
  <c r="AN271" i="1"/>
  <c r="AH289" i="1"/>
  <c r="AK289" i="1" s="1"/>
  <c r="AN289" i="1"/>
  <c r="AE71" i="1"/>
  <c r="AF71" i="1" s="1"/>
  <c r="AN71" i="1"/>
  <c r="AG59" i="1"/>
  <c r="AN59" i="1"/>
  <c r="AG249" i="1"/>
  <c r="AN249" i="1"/>
  <c r="AG285" i="1"/>
  <c r="AN285" i="1"/>
  <c r="AG144" i="1"/>
  <c r="AN144" i="1"/>
  <c r="AG64" i="1"/>
  <c r="AN64" i="1"/>
  <c r="AG242" i="1"/>
  <c r="AN242" i="1"/>
  <c r="AG219" i="1"/>
  <c r="AN219" i="1"/>
  <c r="AG92" i="1"/>
  <c r="AN92" i="1"/>
  <c r="AG50" i="1"/>
  <c r="AN50" i="1"/>
  <c r="AG268" i="1"/>
  <c r="AN268" i="1"/>
  <c r="AG372" i="1"/>
  <c r="AN372" i="1"/>
  <c r="AG328" i="1"/>
  <c r="AN328" i="1"/>
  <c r="AG210" i="1"/>
  <c r="AN210" i="1"/>
  <c r="AG46" i="1"/>
  <c r="AN46" i="1"/>
  <c r="AG267" i="1"/>
  <c r="AN267" i="1"/>
  <c r="AH210" i="1"/>
  <c r="AK210" i="1" s="1"/>
  <c r="AG147" i="1"/>
  <c r="AN147" i="1"/>
  <c r="AE213" i="1"/>
  <c r="AF213" i="1" s="1"/>
  <c r="AN213" i="1"/>
  <c r="AH354" i="1"/>
  <c r="AK354" i="1" s="1"/>
  <c r="AN354" i="1"/>
  <c r="AG172" i="1"/>
  <c r="AN172" i="1"/>
  <c r="AG262" i="1"/>
  <c r="AN262" i="1"/>
  <c r="AG294" i="1"/>
  <c r="AN294" i="1"/>
  <c r="AG215" i="1"/>
  <c r="AN215" i="1"/>
  <c r="AG362" i="1"/>
  <c r="AN362" i="1"/>
  <c r="AG109" i="1"/>
  <c r="AN109" i="1"/>
  <c r="AG58" i="1"/>
  <c r="AN58" i="1"/>
  <c r="AH198" i="1"/>
  <c r="AK198" i="1" s="1"/>
  <c r="AN198" i="1"/>
  <c r="AG31" i="1"/>
  <c r="AN31" i="1"/>
  <c r="AG236" i="1"/>
  <c r="AN236" i="1"/>
  <c r="AG100" i="1"/>
  <c r="AN100" i="1"/>
  <c r="AG70" i="1"/>
  <c r="AN70" i="1"/>
  <c r="AG307" i="1"/>
  <c r="AN307" i="1"/>
  <c r="AG53" i="1"/>
  <c r="AN53" i="1"/>
  <c r="AG203" i="1"/>
  <c r="AN203" i="1"/>
  <c r="AG47" i="1"/>
  <c r="AN47" i="1"/>
  <c r="AG135" i="1"/>
  <c r="AN135" i="1"/>
  <c r="AG212" i="1"/>
  <c r="AN212" i="1"/>
  <c r="AG263" i="1"/>
  <c r="AN263" i="1"/>
  <c r="AG87" i="1"/>
  <c r="AN87" i="1"/>
  <c r="AG108" i="1"/>
  <c r="AN108" i="1"/>
  <c r="AG341" i="1"/>
  <c r="AN341" i="1"/>
  <c r="AG117" i="1"/>
  <c r="AN117" i="1"/>
  <c r="AG339" i="1"/>
  <c r="AN339" i="1"/>
  <c r="AG303" i="1"/>
  <c r="AN303" i="1"/>
  <c r="AG368" i="1"/>
  <c r="AN368" i="1"/>
  <c r="AG277" i="1"/>
  <c r="AN277" i="1"/>
  <c r="AG282" i="1"/>
  <c r="AN282" i="1"/>
  <c r="AG23" i="1"/>
  <c r="AN23" i="1"/>
  <c r="AG65" i="1"/>
  <c r="AN65" i="1"/>
  <c r="AG253" i="1"/>
  <c r="AN253" i="1"/>
  <c r="AG99" i="1"/>
  <c r="AN99" i="1"/>
  <c r="AG314" i="1"/>
  <c r="AN314" i="1"/>
  <c r="AG310" i="1"/>
  <c r="AN310" i="1"/>
  <c r="AE193" i="1"/>
  <c r="AF193" i="1" s="1"/>
  <c r="AN193" i="1"/>
  <c r="AG123" i="1"/>
  <c r="AN123" i="1"/>
  <c r="AG35" i="1"/>
  <c r="AN35" i="1"/>
  <c r="AG357" i="1"/>
  <c r="AN357" i="1"/>
  <c r="AG305" i="1"/>
  <c r="AN305" i="1"/>
  <c r="AG103" i="1"/>
  <c r="AN103" i="1"/>
  <c r="AH142" i="1"/>
  <c r="AK142" i="1" s="1"/>
  <c r="AN142" i="1"/>
  <c r="AG24" i="1"/>
  <c r="AN24" i="1"/>
  <c r="AG201" i="1"/>
  <c r="AN201" i="1"/>
  <c r="AD130" i="1"/>
  <c r="AN130" i="1"/>
  <c r="AG209" i="1"/>
  <c r="AN209" i="1"/>
  <c r="AG304" i="1"/>
  <c r="AN304" i="1"/>
  <c r="AG81" i="1"/>
  <c r="AN81" i="1"/>
  <c r="AG200" i="1"/>
  <c r="AN200" i="1"/>
  <c r="AG352" i="1"/>
  <c r="AN352" i="1"/>
  <c r="AG21" i="1"/>
  <c r="AN21" i="1"/>
  <c r="AG335" i="1"/>
  <c r="AN335" i="1"/>
  <c r="AE145" i="1"/>
  <c r="AF145" i="1" s="1"/>
  <c r="AN145" i="1"/>
  <c r="AG195" i="1"/>
  <c r="AN195" i="1"/>
  <c r="AE367" i="1"/>
  <c r="AF367" i="1" s="1"/>
  <c r="AN367" i="1"/>
  <c r="AG299" i="1"/>
  <c r="AN299" i="1"/>
  <c r="AG22" i="1"/>
  <c r="AN22" i="1"/>
  <c r="AG279" i="1"/>
  <c r="AN279" i="1"/>
  <c r="AH177" i="1"/>
  <c r="AK177" i="1" s="1"/>
  <c r="AN177" i="1"/>
  <c r="AG232" i="1"/>
  <c r="AN232" i="1"/>
  <c r="AG361" i="1"/>
  <c r="AN361" i="1"/>
  <c r="AG325" i="1"/>
  <c r="AN325" i="1"/>
  <c r="AG19" i="1"/>
  <c r="AN19" i="1"/>
  <c r="AG16" i="1"/>
  <c r="AN16" i="1"/>
  <c r="AG238" i="1"/>
  <c r="AN238" i="1"/>
  <c r="AG134" i="1"/>
  <c r="AN134" i="1"/>
  <c r="AG231" i="1"/>
  <c r="AN231" i="1"/>
  <c r="AG308" i="1"/>
  <c r="AN308" i="1"/>
  <c r="AG156" i="1"/>
  <c r="AN156" i="1"/>
  <c r="AG292" i="1"/>
  <c r="AN292" i="1"/>
  <c r="AG14" i="1"/>
  <c r="AN14" i="1"/>
  <c r="AG239" i="1"/>
  <c r="AN239" i="1"/>
  <c r="AG45" i="1"/>
  <c r="AN45" i="1"/>
  <c r="AG347" i="1"/>
  <c r="AN347" i="1"/>
  <c r="AG313" i="1"/>
  <c r="AN313" i="1"/>
  <c r="AH266" i="1"/>
  <c r="AK266" i="1" s="1"/>
  <c r="AN266" i="1"/>
  <c r="AG309" i="1"/>
  <c r="AN309" i="1"/>
  <c r="AG148" i="1"/>
  <c r="AN148" i="1"/>
  <c r="AH43" i="1"/>
  <c r="AK43" i="1" s="1"/>
  <c r="AN43" i="1"/>
  <c r="AG119" i="1"/>
  <c r="AN119" i="1"/>
  <c r="AG69" i="1"/>
  <c r="AN69" i="1"/>
  <c r="AG37" i="1"/>
  <c r="AN37" i="1"/>
  <c r="AG29" i="1"/>
  <c r="AN29" i="1"/>
  <c r="AG230" i="1"/>
  <c r="AN230" i="1"/>
  <c r="AG332" i="1"/>
  <c r="AN332" i="1"/>
  <c r="AG334" i="1"/>
  <c r="AN334" i="1"/>
  <c r="AG326" i="1"/>
  <c r="AN326" i="1"/>
  <c r="AG228" i="1"/>
  <c r="AN228" i="1"/>
  <c r="AG93" i="1"/>
  <c r="AN93" i="1"/>
  <c r="AG182" i="1"/>
  <c r="AN182" i="1"/>
  <c r="AE370" i="1"/>
  <c r="AF370" i="1" s="1"/>
  <c r="AN370" i="1"/>
  <c r="AE311" i="1"/>
  <c r="AF311" i="1" s="1"/>
  <c r="AN311" i="1"/>
  <c r="AD321" i="1"/>
  <c r="AN321" i="1"/>
  <c r="AG217" i="1"/>
  <c r="AN217" i="1"/>
  <c r="AG360" i="1"/>
  <c r="AN360" i="1"/>
  <c r="AG68" i="1"/>
  <c r="AN68" i="1"/>
  <c r="AG235" i="1"/>
  <c r="AN235" i="1"/>
  <c r="AG369" i="1"/>
  <c r="AN369" i="1"/>
  <c r="AG353" i="1"/>
  <c r="AN353" i="1"/>
  <c r="AG137" i="1"/>
  <c r="AN137" i="1"/>
  <c r="AG118" i="1"/>
  <c r="AN118" i="1"/>
  <c r="AG364" i="1"/>
  <c r="AN364" i="1"/>
  <c r="AG298" i="1"/>
  <c r="AN298" i="1"/>
  <c r="AE27" i="1"/>
  <c r="AF27" i="1" s="1"/>
  <c r="AN27" i="1"/>
  <c r="AG80" i="1"/>
  <c r="AN80" i="1"/>
  <c r="AG55" i="1"/>
  <c r="AN55" i="1"/>
  <c r="AG114" i="1"/>
  <c r="AN114" i="1"/>
  <c r="AG194" i="1"/>
  <c r="AN194" i="1"/>
  <c r="AG227" i="1"/>
  <c r="AN227" i="1"/>
  <c r="AG346" i="1"/>
  <c r="AN346" i="1"/>
  <c r="AG185" i="1"/>
  <c r="AN185" i="1"/>
  <c r="AD25" i="1"/>
  <c r="AN25" i="1"/>
  <c r="AG338" i="1"/>
  <c r="AN338" i="1"/>
  <c r="AD210" i="1"/>
  <c r="AG115" i="1"/>
  <c r="AN115" i="1"/>
  <c r="AG251" i="1"/>
  <c r="AN251" i="1"/>
  <c r="AD257" i="1"/>
  <c r="AN257" i="1"/>
  <c r="AG63" i="1"/>
  <c r="AN63" i="1"/>
  <c r="AG143" i="1"/>
  <c r="AN143" i="1"/>
  <c r="AG106" i="1"/>
  <c r="AN106" i="1"/>
  <c r="AG278" i="1"/>
  <c r="AN278" i="1"/>
  <c r="AG205" i="1"/>
  <c r="AN205" i="1"/>
  <c r="AG234" i="1"/>
  <c r="AN234" i="1"/>
  <c r="AG167" i="1"/>
  <c r="AN167" i="1"/>
  <c r="AG116" i="1"/>
  <c r="AN116" i="1"/>
  <c r="AE129" i="1"/>
  <c r="AF129" i="1" s="1"/>
  <c r="AN129" i="1"/>
  <c r="AG161" i="1"/>
  <c r="AN161" i="1"/>
  <c r="AG124" i="1"/>
  <c r="AN124" i="1"/>
  <c r="AG218" i="1"/>
  <c r="AN218" i="1"/>
  <c r="AG323" i="1"/>
  <c r="AN323" i="1"/>
  <c r="AG345" i="1"/>
  <c r="AN345" i="1"/>
  <c r="AG247" i="1"/>
  <c r="AN247" i="1"/>
  <c r="AG174" i="1"/>
  <c r="AN174" i="1"/>
  <c r="AD179" i="1"/>
  <c r="AN179" i="1"/>
  <c r="AG356" i="1"/>
  <c r="AN356" i="1"/>
  <c r="AG207" i="1"/>
  <c r="AN207" i="1"/>
  <c r="AD74" i="1"/>
  <c r="AN74" i="1"/>
  <c r="AH316" i="1"/>
  <c r="AK316" i="1" s="1"/>
  <c r="AN316" i="1"/>
  <c r="AG359" i="1"/>
  <c r="AN359" i="1"/>
  <c r="AG15" i="1"/>
  <c r="AN15" i="1"/>
  <c r="AG256" i="1"/>
  <c r="AN256" i="1"/>
  <c r="AG264" i="1"/>
  <c r="AN264" i="1"/>
  <c r="AD260" i="1"/>
  <c r="AN260" i="1"/>
  <c r="AG157" i="1"/>
  <c r="AN157" i="1"/>
  <c r="AG159" i="1"/>
  <c r="AN159" i="1"/>
  <c r="AG152" i="1"/>
  <c r="AN152" i="1"/>
  <c r="AG181" i="1"/>
  <c r="AN181" i="1"/>
  <c r="AG246" i="1"/>
  <c r="AN246" i="1"/>
  <c r="AG324" i="1"/>
  <c r="AN324" i="1"/>
  <c r="AG165" i="1"/>
  <c r="AN165" i="1"/>
  <c r="AG340" i="1"/>
  <c r="AN340" i="1"/>
  <c r="AG36" i="1"/>
  <c r="AN36" i="1"/>
  <c r="AG86" i="1"/>
  <c r="AN86" i="1"/>
  <c r="AE186" i="1"/>
  <c r="AF186" i="1" s="1"/>
  <c r="AN186" i="1"/>
  <c r="AG329" i="1"/>
  <c r="AN329" i="1"/>
  <c r="AG206" i="1"/>
  <c r="AN206" i="1"/>
  <c r="AG274" i="1"/>
  <c r="AN274" i="1"/>
  <c r="AH204" i="1"/>
  <c r="AK204" i="1" s="1"/>
  <c r="AN204" i="1"/>
  <c r="AG333" i="1"/>
  <c r="AN333" i="1"/>
  <c r="AG371" i="1"/>
  <c r="AN371" i="1"/>
  <c r="AG166" i="1"/>
  <c r="AN166" i="1"/>
  <c r="AD312" i="1"/>
  <c r="AN312" i="1"/>
  <c r="AE158" i="1"/>
  <c r="AF158" i="1" s="1"/>
  <c r="AN158" i="1"/>
  <c r="AG82" i="1"/>
  <c r="AN82" i="1"/>
  <c r="AG90" i="1"/>
  <c r="AN90" i="1"/>
  <c r="AH190" i="1"/>
  <c r="AK190" i="1" s="1"/>
  <c r="AN190" i="1"/>
  <c r="AG273" i="1"/>
  <c r="AN273" i="1"/>
  <c r="AG229" i="1"/>
  <c r="AN229" i="1"/>
  <c r="AG138" i="1"/>
  <c r="AN138" i="1"/>
  <c r="AG288" i="1"/>
  <c r="AN288" i="1"/>
  <c r="AG40" i="1"/>
  <c r="AN40" i="1"/>
  <c r="AG128" i="1"/>
  <c r="AN128" i="1"/>
  <c r="AG13" i="1"/>
  <c r="AN13" i="1"/>
  <c r="AG255" i="1"/>
  <c r="AN255" i="1"/>
  <c r="AG327" i="1"/>
  <c r="AN327" i="1"/>
  <c r="AG131" i="1"/>
  <c r="AN131" i="1"/>
  <c r="AG189" i="1"/>
  <c r="AN189" i="1"/>
  <c r="AG337" i="1"/>
  <c r="AN337" i="1"/>
  <c r="AG105" i="1"/>
  <c r="AN105" i="1"/>
  <c r="AG41" i="1"/>
  <c r="AN41" i="1"/>
  <c r="AG126" i="1"/>
  <c r="AN126" i="1"/>
  <c r="AG28" i="1"/>
  <c r="AN28" i="1"/>
  <c r="AE211" i="1"/>
  <c r="AF211" i="1" s="1"/>
  <c r="AN211" i="1"/>
  <c r="AG49" i="1"/>
  <c r="AN49" i="1"/>
  <c r="AG85" i="1"/>
  <c r="AN85" i="1"/>
  <c r="AG57" i="1"/>
  <c r="AN57" i="1"/>
  <c r="AG224" i="1"/>
  <c r="AN224" i="1"/>
  <c r="AG197" i="1"/>
  <c r="AN197" i="1"/>
  <c r="AG226" i="1"/>
  <c r="AN226" i="1"/>
  <c r="AG244" i="1"/>
  <c r="AN244" i="1"/>
  <c r="AG348" i="1"/>
  <c r="AN348" i="1"/>
  <c r="AG95" i="1"/>
  <c r="AN95" i="1"/>
  <c r="AG188" i="1"/>
  <c r="AN188" i="1"/>
  <c r="AG306" i="1"/>
  <c r="AN306" i="1"/>
  <c r="AG139" i="1"/>
  <c r="AN139" i="1"/>
  <c r="AG300" i="1"/>
  <c r="AN300" i="1"/>
  <c r="AG315" i="1"/>
  <c r="AN315" i="1"/>
  <c r="AG293" i="1"/>
  <c r="AN293" i="1"/>
  <c r="AG220" i="1"/>
  <c r="AN220" i="1"/>
  <c r="AE322" i="1"/>
  <c r="AF322" i="1" s="1"/>
  <c r="AN322" i="1"/>
  <c r="AG233" i="1"/>
  <c r="AN233" i="1"/>
  <c r="AG240" i="1"/>
  <c r="AN240" i="1"/>
  <c r="AG243" i="1"/>
  <c r="AN243" i="1"/>
  <c r="AG164" i="1"/>
  <c r="AN164" i="1"/>
  <c r="AG344" i="1"/>
  <c r="AN344" i="1"/>
  <c r="AG355" i="1"/>
  <c r="AN355" i="1"/>
  <c r="AE357" i="1"/>
  <c r="AF357" i="1" s="1"/>
  <c r="AE325" i="1"/>
  <c r="AF325" i="1" s="1"/>
  <c r="AD330" i="1"/>
  <c r="AE330" i="1"/>
  <c r="AF330" i="1" s="1"/>
  <c r="AH330" i="1"/>
  <c r="AK330" i="1" s="1"/>
  <c r="AD364" i="1"/>
  <c r="AE364" i="1"/>
  <c r="AF364" i="1" s="1"/>
  <c r="AH364" i="1"/>
  <c r="AE235" i="1"/>
  <c r="AF235" i="1" s="1"/>
  <c r="G54" i="6"/>
  <c r="AD369" i="1"/>
  <c r="AD35" i="1"/>
  <c r="AH344" i="1"/>
  <c r="AE312" i="1"/>
  <c r="AF312" i="1" s="1"/>
  <c r="AE35" i="1"/>
  <c r="AF35" i="1" s="1"/>
  <c r="AH160" i="1"/>
  <c r="AH249" i="1"/>
  <c r="AH109" i="1"/>
  <c r="AD249" i="1"/>
  <c r="AH310" i="1"/>
  <c r="AK310" i="1" s="1"/>
  <c r="AH30" i="1"/>
  <c r="AK30" i="1" s="1"/>
  <c r="AH312" i="1"/>
  <c r="AK312" i="1" s="1"/>
  <c r="AG312" i="1"/>
  <c r="AD310" i="1"/>
  <c r="AE162" i="1"/>
  <c r="AF162" i="1" s="1"/>
  <c r="AH35" i="1"/>
  <c r="AK35" i="1" s="1"/>
  <c r="AE285" i="1"/>
  <c r="AF285" i="1" s="1"/>
  <c r="AD285" i="1"/>
  <c r="AH285" i="1"/>
  <c r="AK285" i="1" s="1"/>
  <c r="AH158" i="1"/>
  <c r="AK158" i="1" s="1"/>
  <c r="AG257" i="1"/>
  <c r="AE146" i="1"/>
  <c r="AF146" i="1" s="1"/>
  <c r="AG284" i="1"/>
  <c r="AD354" i="1"/>
  <c r="AG158" i="1"/>
  <c r="AD158" i="1"/>
  <c r="AH353" i="1"/>
  <c r="AH369" i="1"/>
  <c r="AE353" i="1"/>
  <c r="AF353" i="1" s="1"/>
  <c r="AD164" i="1"/>
  <c r="AD123" i="1"/>
  <c r="AD84" i="1"/>
  <c r="AH164" i="1"/>
  <c r="AK164" i="1" s="1"/>
  <c r="AE369" i="1"/>
  <c r="AF369" i="1" s="1"/>
  <c r="AD353" i="1"/>
  <c r="AE344" i="1"/>
  <c r="AF344" i="1" s="1"/>
  <c r="AE123" i="1"/>
  <c r="AF123" i="1" s="1"/>
  <c r="AH235" i="1"/>
  <c r="AK235" i="1" s="1"/>
  <c r="AD344" i="1"/>
  <c r="AH123" i="1"/>
  <c r="AE164" i="1"/>
  <c r="AF164" i="1" s="1"/>
  <c r="AH358" i="1"/>
  <c r="AK358" i="1" s="1"/>
  <c r="AD358" i="1"/>
  <c r="AE358" i="1"/>
  <c r="AF358" i="1" s="1"/>
  <c r="AD235" i="1"/>
  <c r="AD361" i="1"/>
  <c r="AE53" i="1"/>
  <c r="AF53" i="1" s="1"/>
  <c r="AD197" i="1"/>
  <c r="AG289" i="1"/>
  <c r="AD338" i="1"/>
  <c r="AH214" i="1"/>
  <c r="AK214" i="1" s="1"/>
  <c r="AH146" i="1"/>
  <c r="AK146" i="1" s="1"/>
  <c r="AH73" i="1"/>
  <c r="AE314" i="1"/>
  <c r="AF314" i="1" s="1"/>
  <c r="AD146" i="1"/>
  <c r="AD214" i="1"/>
  <c r="AE214" i="1"/>
  <c r="AF214" i="1" s="1"/>
  <c r="AH299" i="1"/>
  <c r="AK299" i="1" s="1"/>
  <c r="AE281" i="1"/>
  <c r="AF281" i="1" s="1"/>
  <c r="AH17" i="1"/>
  <c r="AK17" i="1" s="1"/>
  <c r="AE204" i="1"/>
  <c r="AF204" i="1" s="1"/>
  <c r="AH371" i="1"/>
  <c r="AK371" i="1" s="1"/>
  <c r="AH118" i="1"/>
  <c r="AE342" i="1"/>
  <c r="AF342" i="1" s="1"/>
  <c r="AE338" i="1"/>
  <c r="AF338" i="1" s="1"/>
  <c r="AH338" i="1"/>
  <c r="AK338" i="1" s="1"/>
  <c r="AE328" i="1"/>
  <c r="AF328" i="1" s="1"/>
  <c r="AD59" i="1"/>
  <c r="AH59" i="1"/>
  <c r="AH328" i="1"/>
  <c r="AD360" i="1"/>
  <c r="AE59" i="1"/>
  <c r="AF59" i="1" s="1"/>
  <c r="AD73" i="1"/>
  <c r="AH86" i="1"/>
  <c r="AK86" i="1" s="1"/>
  <c r="AE65" i="1"/>
  <c r="AF65" i="1" s="1"/>
  <c r="AD328" i="1"/>
  <c r="AD314" i="1"/>
  <c r="AE73" i="1"/>
  <c r="AF73" i="1" s="1"/>
  <c r="AH314" i="1"/>
  <c r="AK314" i="1" s="1"/>
  <c r="AD137" i="1"/>
  <c r="AE17" i="1"/>
  <c r="AF17" i="1" s="1"/>
  <c r="AD118" i="1"/>
  <c r="AG204" i="1"/>
  <c r="AD166" i="1"/>
  <c r="AE273" i="1"/>
  <c r="AF273" i="1" s="1"/>
  <c r="AH229" i="1"/>
  <c r="AD272" i="1"/>
  <c r="AE371" i="1"/>
  <c r="AF371" i="1" s="1"/>
  <c r="AE249" i="1"/>
  <c r="AF249" i="1" s="1"/>
  <c r="AD342" i="1"/>
  <c r="AD371" i="1"/>
  <c r="AE207" i="1"/>
  <c r="AF207" i="1" s="1"/>
  <c r="AD204" i="1"/>
  <c r="AG322" i="1"/>
  <c r="AE310" i="1"/>
  <c r="AF310" i="1" s="1"/>
  <c r="AE212" i="1"/>
  <c r="AF212" i="1" s="1"/>
  <c r="AD372" i="1"/>
  <c r="AH284" i="1"/>
  <c r="AH342" i="1"/>
  <c r="AK342" i="1" s="1"/>
  <c r="AH282" i="1"/>
  <c r="AE137" i="1"/>
  <c r="AF137" i="1" s="1"/>
  <c r="AH162" i="1"/>
  <c r="AH137" i="1"/>
  <c r="AK137" i="1" s="1"/>
  <c r="AD17" i="1"/>
  <c r="AE118" i="1"/>
  <c r="AF118" i="1" s="1"/>
  <c r="AG208" i="1"/>
  <c r="AG71" i="1"/>
  <c r="AH208" i="1"/>
  <c r="AH34" i="1"/>
  <c r="AK34" i="1" s="1"/>
  <c r="AE83" i="1"/>
  <c r="AF83" i="1" s="1"/>
  <c r="AD230" i="1"/>
  <c r="AE243" i="1"/>
  <c r="AF243" i="1" s="1"/>
  <c r="AD72" i="1"/>
  <c r="AE245" i="1"/>
  <c r="AF245" i="1" s="1"/>
  <c r="AD193" i="1"/>
  <c r="AH311" i="1"/>
  <c r="AK311" i="1" s="1"/>
  <c r="AD71" i="1"/>
  <c r="AH57" i="1"/>
  <c r="AK57" i="1" s="1"/>
  <c r="AE220" i="1"/>
  <c r="AF220" i="1" s="1"/>
  <c r="AH83" i="1"/>
  <c r="AK83" i="1" s="1"/>
  <c r="AD325" i="1"/>
  <c r="AE125" i="1"/>
  <c r="AF125" i="1" s="1"/>
  <c r="AD57" i="1"/>
  <c r="AH104" i="1"/>
  <c r="AK104" i="1" s="1"/>
  <c r="AE66" i="1"/>
  <c r="AF66" i="1" s="1"/>
  <c r="AE197" i="1"/>
  <c r="AF197" i="1" s="1"/>
  <c r="AH230" i="1"/>
  <c r="AK230" i="1" s="1"/>
  <c r="AD243" i="1"/>
  <c r="AD208" i="1"/>
  <c r="AD104" i="1"/>
  <c r="AE361" i="1"/>
  <c r="AF361" i="1" s="1"/>
  <c r="AH125" i="1"/>
  <c r="AK125" i="1" s="1"/>
  <c r="AH233" i="1"/>
  <c r="AK233" i="1" s="1"/>
  <c r="AD138" i="1"/>
  <c r="AE289" i="1"/>
  <c r="AF289" i="1" s="1"/>
  <c r="AD132" i="1"/>
  <c r="AH333" i="1"/>
  <c r="AH243" i="1"/>
  <c r="AK243" i="1" s="1"/>
  <c r="AE208" i="1"/>
  <c r="AF208" i="1" s="1"/>
  <c r="AE240" i="1"/>
  <c r="AF240" i="1" s="1"/>
  <c r="AD281" i="1"/>
  <c r="AD241" i="1"/>
  <c r="AH175" i="1"/>
  <c r="AE233" i="1"/>
  <c r="AF233" i="1" s="1"/>
  <c r="AH138" i="1"/>
  <c r="AH321" i="1"/>
  <c r="AK321" i="1" s="1"/>
  <c r="AD240" i="1"/>
  <c r="AH271" i="1"/>
  <c r="AK271" i="1" s="1"/>
  <c r="AH361" i="1"/>
  <c r="AK361" i="1" s="1"/>
  <c r="AD125" i="1"/>
  <c r="AE138" i="1"/>
  <c r="AF138" i="1" s="1"/>
  <c r="AD289" i="1"/>
  <c r="AD233" i="1"/>
  <c r="AH197" i="1"/>
  <c r="AK197" i="1" s="1"/>
  <c r="AD333" i="1"/>
  <c r="AH136" i="1"/>
  <c r="AK136" i="1" s="1"/>
  <c r="AH281" i="1"/>
  <c r="AH241" i="1"/>
  <c r="AE166" i="1"/>
  <c r="AF166" i="1" s="1"/>
  <c r="AE333" i="1"/>
  <c r="AF333" i="1" s="1"/>
  <c r="AD155" i="1"/>
  <c r="AD180" i="1"/>
  <c r="AD136" i="1"/>
  <c r="AD311" i="1"/>
  <c r="AD271" i="1"/>
  <c r="AE241" i="1"/>
  <c r="AF241" i="1" s="1"/>
  <c r="AD50" i="1"/>
  <c r="AE321" i="1"/>
  <c r="AF321" i="1" s="1"/>
  <c r="AG321" i="1"/>
  <c r="AD83" i="1"/>
  <c r="AH166" i="1"/>
  <c r="AK166" i="1" s="1"/>
  <c r="AG311" i="1"/>
  <c r="AE203" i="1"/>
  <c r="AF203" i="1" s="1"/>
  <c r="AE180" i="1"/>
  <c r="AF180" i="1" s="1"/>
  <c r="AE136" i="1"/>
  <c r="AF136" i="1" s="1"/>
  <c r="AE271" i="1"/>
  <c r="AF271" i="1" s="1"/>
  <c r="AD299" i="1"/>
  <c r="AH50" i="1"/>
  <c r="AK50" i="1" s="1"/>
  <c r="AE174" i="1"/>
  <c r="AF174" i="1" s="1"/>
  <c r="AH240" i="1"/>
  <c r="AK240" i="1" s="1"/>
  <c r="AE230" i="1"/>
  <c r="AF230" i="1" s="1"/>
  <c r="AH180" i="1"/>
  <c r="AE299" i="1"/>
  <c r="AF299" i="1" s="1"/>
  <c r="AE101" i="1"/>
  <c r="AF101" i="1" s="1"/>
  <c r="AE50" i="1"/>
  <c r="AF50" i="1" s="1"/>
  <c r="AD348" i="1"/>
  <c r="AE68" i="1"/>
  <c r="AF68" i="1" s="1"/>
  <c r="AE113" i="1"/>
  <c r="AF113" i="1" s="1"/>
  <c r="AH274" i="1"/>
  <c r="AK274" i="1" s="1"/>
  <c r="AD119" i="1"/>
  <c r="AH131" i="1"/>
  <c r="AE345" i="1"/>
  <c r="AF345" i="1" s="1"/>
  <c r="AH283" i="1"/>
  <c r="AE229" i="1"/>
  <c r="AF229" i="1" s="1"/>
  <c r="AE274" i="1"/>
  <c r="AF274" i="1" s="1"/>
  <c r="AD313" i="1"/>
  <c r="AH234" i="1"/>
  <c r="AK234" i="1" s="1"/>
  <c r="AH112" i="1"/>
  <c r="AE119" i="1"/>
  <c r="AF119" i="1" s="1"/>
  <c r="AD47" i="1"/>
  <c r="AD283" i="1"/>
  <c r="AE192" i="1"/>
  <c r="AF192" i="1" s="1"/>
  <c r="AD304" i="1"/>
  <c r="AD23" i="1"/>
  <c r="AG30" i="1"/>
  <c r="AD33" i="1"/>
  <c r="AE283" i="1"/>
  <c r="AF283" i="1" s="1"/>
  <c r="AH228" i="1"/>
  <c r="AK228" i="1" s="1"/>
  <c r="AH334" i="1"/>
  <c r="AD274" i="1"/>
  <c r="AE219" i="1"/>
  <c r="AF219" i="1" s="1"/>
  <c r="AH227" i="1"/>
  <c r="AE323" i="1"/>
  <c r="AF323" i="1" s="1"/>
  <c r="E55" i="6"/>
  <c r="F55" i="6" s="1"/>
  <c r="C55" i="6"/>
  <c r="D55" i="6" s="1"/>
  <c r="AD206" i="1"/>
  <c r="AE67" i="1"/>
  <c r="AF67" i="1" s="1"/>
  <c r="AD252" i="1"/>
  <c r="A57" i="6"/>
  <c r="I56" i="6"/>
  <c r="J56" i="6" s="1"/>
  <c r="AD219" i="1"/>
  <c r="AE234" i="1"/>
  <c r="AF234" i="1" s="1"/>
  <c r="AE23" i="1"/>
  <c r="AF23" i="1" s="1"/>
  <c r="AH194" i="1"/>
  <c r="AK194" i="1" s="1"/>
  <c r="AH206" i="1"/>
  <c r="AK206" i="1" s="1"/>
  <c r="AD293" i="1"/>
  <c r="AD229" i="1"/>
  <c r="AH192" i="1"/>
  <c r="AE151" i="1"/>
  <c r="AF151" i="1" s="1"/>
  <c r="AE304" i="1"/>
  <c r="AF304" i="1" s="1"/>
  <c r="AE354" i="1"/>
  <c r="AF354" i="1" s="1"/>
  <c r="AE160" i="1"/>
  <c r="AF160" i="1" s="1"/>
  <c r="AE272" i="1"/>
  <c r="AF272" i="1" s="1"/>
  <c r="AD207" i="1"/>
  <c r="AD323" i="1"/>
  <c r="AH135" i="1"/>
  <c r="AH219" i="1"/>
  <c r="AD109" i="1"/>
  <c r="AG354" i="1"/>
  <c r="AD112" i="1"/>
  <c r="AH119" i="1"/>
  <c r="AK119" i="1" s="1"/>
  <c r="AH33" i="1"/>
  <c r="AK33" i="1" s="1"/>
  <c r="AE282" i="1"/>
  <c r="AF282" i="1" s="1"/>
  <c r="AD30" i="1"/>
  <c r="AH149" i="1"/>
  <c r="AK149" i="1" s="1"/>
  <c r="AE372" i="1"/>
  <c r="AF372" i="1" s="1"/>
  <c r="AD192" i="1"/>
  <c r="AE195" i="1"/>
  <c r="AF195" i="1" s="1"/>
  <c r="AE224" i="1"/>
  <c r="AF224" i="1" s="1"/>
  <c r="AH272" i="1"/>
  <c r="AH207" i="1"/>
  <c r="AD228" i="1"/>
  <c r="AH326" i="1"/>
  <c r="AD273" i="1"/>
  <c r="AH18" i="1"/>
  <c r="AH291" i="1"/>
  <c r="AK291" i="1" s="1"/>
  <c r="AE102" i="1"/>
  <c r="AF102" i="1" s="1"/>
  <c r="AE228" i="1"/>
  <c r="AF228" i="1" s="1"/>
  <c r="AH323" i="1"/>
  <c r="AD326" i="1"/>
  <c r="AE315" i="1"/>
  <c r="AF315" i="1" s="1"/>
  <c r="AE109" i="1"/>
  <c r="AF109" i="1" s="1"/>
  <c r="AD227" i="1"/>
  <c r="AH372" i="1"/>
  <c r="AK372" i="1" s="1"/>
  <c r="AD291" i="1"/>
  <c r="AD284" i="1"/>
  <c r="AH322" i="1"/>
  <c r="AH308" i="1"/>
  <c r="AK308" i="1" s="1"/>
  <c r="AD334" i="1"/>
  <c r="AE326" i="1"/>
  <c r="AF326" i="1" s="1"/>
  <c r="AE363" i="1"/>
  <c r="AF363" i="1" s="1"/>
  <c r="AE112" i="1"/>
  <c r="AF112" i="1" s="1"/>
  <c r="AE30" i="1"/>
  <c r="AF30" i="1" s="1"/>
  <c r="AD282" i="1"/>
  <c r="AH273" i="1"/>
  <c r="AK273" i="1" s="1"/>
  <c r="AD18" i="1"/>
  <c r="AH195" i="1"/>
  <c r="AK195" i="1" s="1"/>
  <c r="AD300" i="1"/>
  <c r="AH212" i="1"/>
  <c r="AK212" i="1" s="1"/>
  <c r="AH113" i="1"/>
  <c r="AK113" i="1" s="1"/>
  <c r="AE227" i="1"/>
  <c r="AF227" i="1" s="1"/>
  <c r="AD131" i="1"/>
  <c r="AH345" i="1"/>
  <c r="AK345" i="1" s="1"/>
  <c r="AD194" i="1"/>
  <c r="AH68" i="1"/>
  <c r="AE206" i="1"/>
  <c r="AF206" i="1" s="1"/>
  <c r="AE18" i="1"/>
  <c r="AF18" i="1" s="1"/>
  <c r="AD195" i="1"/>
  <c r="AE284" i="1"/>
  <c r="AF284" i="1" s="1"/>
  <c r="AD322" i="1"/>
  <c r="AD81" i="1"/>
  <c r="AE334" i="1"/>
  <c r="AF334" i="1" s="1"/>
  <c r="AD135" i="1"/>
  <c r="AE33" i="1"/>
  <c r="AF33" i="1" s="1"/>
  <c r="AD149" i="1"/>
  <c r="AH300" i="1"/>
  <c r="AD162" i="1"/>
  <c r="AE149" i="1"/>
  <c r="AF149" i="1" s="1"/>
  <c r="AE300" i="1"/>
  <c r="AF300" i="1" s="1"/>
  <c r="AD234" i="1"/>
  <c r="AD212" i="1"/>
  <c r="AD113" i="1"/>
  <c r="AH23" i="1"/>
  <c r="AE131" i="1"/>
  <c r="AF131" i="1" s="1"/>
  <c r="AD345" i="1"/>
  <c r="AE194" i="1"/>
  <c r="AF194" i="1" s="1"/>
  <c r="AD68" i="1"/>
  <c r="AH304" i="1"/>
  <c r="AD160" i="1"/>
  <c r="AE291" i="1"/>
  <c r="AF291" i="1" s="1"/>
  <c r="AE81" i="1"/>
  <c r="AF81" i="1" s="1"/>
  <c r="AH226" i="1"/>
  <c r="AK226" i="1" s="1"/>
  <c r="AE135" i="1"/>
  <c r="AF135" i="1" s="1"/>
  <c r="AE104" i="1"/>
  <c r="AF104" i="1" s="1"/>
  <c r="AE348" i="1"/>
  <c r="AF348" i="1" s="1"/>
  <c r="AD85" i="1"/>
  <c r="AE139" i="1"/>
  <c r="AF139" i="1" s="1"/>
  <c r="AE34" i="1"/>
  <c r="AF34" i="1" s="1"/>
  <c r="AH25" i="1"/>
  <c r="AH366" i="1"/>
  <c r="AH348" i="1"/>
  <c r="AK348" i="1" s="1"/>
  <c r="AD100" i="1"/>
  <c r="AE25" i="1"/>
  <c r="AF25" i="1" s="1"/>
  <c r="AH48" i="1"/>
  <c r="AD99" i="1"/>
  <c r="AG101" i="1"/>
  <c r="AD366" i="1"/>
  <c r="AD97" i="1"/>
  <c r="AE48" i="1"/>
  <c r="AF48" i="1" s="1"/>
  <c r="AD34" i="1"/>
  <c r="AD48" i="1"/>
  <c r="AH139" i="1"/>
  <c r="AE99" i="1"/>
  <c r="AF99" i="1" s="1"/>
  <c r="AG25" i="1"/>
  <c r="AE366" i="1"/>
  <c r="AF366" i="1" s="1"/>
  <c r="AH97" i="1"/>
  <c r="AK97" i="1" s="1"/>
  <c r="AD139" i="1"/>
  <c r="AD66" i="1"/>
  <c r="AG366" i="1"/>
  <c r="AH101" i="1"/>
  <c r="AK101" i="1" s="1"/>
  <c r="AE57" i="1"/>
  <c r="AF57" i="1" s="1"/>
  <c r="AE97" i="1"/>
  <c r="AF97" i="1" s="1"/>
  <c r="AH66" i="1"/>
  <c r="AK66" i="1" s="1"/>
  <c r="AE39" i="1"/>
  <c r="AF39" i="1" s="1"/>
  <c r="AH99" i="1"/>
  <c r="AK99" i="1" s="1"/>
  <c r="AE159" i="1"/>
  <c r="AF159" i="1" s="1"/>
  <c r="AD220" i="1"/>
  <c r="AH278" i="1"/>
  <c r="AH84" i="1"/>
  <c r="AK84" i="1" s="1"/>
  <c r="AE163" i="1"/>
  <c r="AF163" i="1" s="1"/>
  <c r="AH298" i="1"/>
  <c r="AH26" i="1"/>
  <c r="AE84" i="1"/>
  <c r="AF84" i="1" s="1"/>
  <c r="AD111" i="1"/>
  <c r="AH258" i="1"/>
  <c r="AE121" i="1"/>
  <c r="AF121" i="1" s="1"/>
  <c r="AE130" i="1"/>
  <c r="AF130" i="1" s="1"/>
  <c r="AD77" i="1"/>
  <c r="AE242" i="1"/>
  <c r="AF242" i="1" s="1"/>
  <c r="AE77" i="1"/>
  <c r="AF77" i="1" s="1"/>
  <c r="AH121" i="1"/>
  <c r="AG211" i="1"/>
  <c r="AG111" i="1"/>
  <c r="AH303" i="1"/>
  <c r="AK303" i="1" s="1"/>
  <c r="AE47" i="1"/>
  <c r="AF47" i="1" s="1"/>
  <c r="AG186" i="1"/>
  <c r="AE72" i="1"/>
  <c r="AF72" i="1" s="1"/>
  <c r="AH111" i="1"/>
  <c r="AK111" i="1" s="1"/>
  <c r="AH186" i="1"/>
  <c r="AE278" i="1"/>
  <c r="AF278" i="1" s="1"/>
  <c r="AH141" i="1"/>
  <c r="AK141" i="1" s="1"/>
  <c r="AH163" i="1"/>
  <c r="AK163" i="1" s="1"/>
  <c r="AG20" i="1"/>
  <c r="AD121" i="1"/>
  <c r="AH242" i="1"/>
  <c r="AK242" i="1" s="1"/>
  <c r="AD218" i="1"/>
  <c r="AH341" i="1"/>
  <c r="AG190" i="1"/>
  <c r="AH211" i="1"/>
  <c r="AK211" i="1" s="1"/>
  <c r="AD186" i="1"/>
  <c r="AD153" i="1"/>
  <c r="AH153" i="1"/>
  <c r="AH77" i="1"/>
  <c r="AK77" i="1" s="1"/>
  <c r="AD20" i="1"/>
  <c r="AD341" i="1"/>
  <c r="AH72" i="1"/>
  <c r="AK72" i="1" s="1"/>
  <c r="AD211" i="1"/>
  <c r="AD237" i="1"/>
  <c r="AD278" i="1"/>
  <c r="AE141" i="1"/>
  <c r="AF141" i="1" s="1"/>
  <c r="AE320" i="1"/>
  <c r="AF320" i="1" s="1"/>
  <c r="AD163" i="1"/>
  <c r="AH317" i="1"/>
  <c r="AH36" i="1"/>
  <c r="AK36" i="1" s="1"/>
  <c r="AH124" i="1"/>
  <c r="AD190" i="1"/>
  <c r="AD141" i="1"/>
  <c r="AE153" i="1"/>
  <c r="AF153" i="1" s="1"/>
  <c r="AE218" i="1"/>
  <c r="AF218" i="1" s="1"/>
  <c r="AE341" i="1"/>
  <c r="AF341" i="1" s="1"/>
  <c r="AH27" i="1"/>
  <c r="AH237" i="1"/>
  <c r="AH220" i="1"/>
  <c r="AE317" i="1"/>
  <c r="AF317" i="1" s="1"/>
  <c r="AE20" i="1"/>
  <c r="AF20" i="1" s="1"/>
  <c r="AD150" i="1"/>
  <c r="AE36" i="1"/>
  <c r="AF36" i="1" s="1"/>
  <c r="AH218" i="1"/>
  <c r="AK218" i="1" s="1"/>
  <c r="AE277" i="1"/>
  <c r="AF277" i="1" s="1"/>
  <c r="AD27" i="1"/>
  <c r="AD124" i="1"/>
  <c r="AE177" i="1"/>
  <c r="AF177" i="1" s="1"/>
  <c r="AE190" i="1"/>
  <c r="AF190" i="1" s="1"/>
  <c r="AH253" i="1"/>
  <c r="AE237" i="1"/>
  <c r="AF237" i="1" s="1"/>
  <c r="AD258" i="1"/>
  <c r="AE313" i="1"/>
  <c r="AF313" i="1" s="1"/>
  <c r="AD317" i="1"/>
  <c r="AH150" i="1"/>
  <c r="AD303" i="1"/>
  <c r="AG27" i="1"/>
  <c r="AD277" i="1"/>
  <c r="AD26" i="1"/>
  <c r="AE124" i="1"/>
  <c r="AF124" i="1" s="1"/>
  <c r="AD177" i="1"/>
  <c r="AE111" i="1"/>
  <c r="AF111" i="1" s="1"/>
  <c r="AD67" i="1"/>
  <c r="AD253" i="1"/>
  <c r="AE258" i="1"/>
  <c r="AF258" i="1" s="1"/>
  <c r="AD298" i="1"/>
  <c r="AD242" i="1"/>
  <c r="AE150" i="1"/>
  <c r="AF150" i="1" s="1"/>
  <c r="AD36" i="1"/>
  <c r="AE303" i="1"/>
  <c r="AF303" i="1" s="1"/>
  <c r="AH47" i="1"/>
  <c r="AK47" i="1" s="1"/>
  <c r="AG177" i="1"/>
  <c r="AH277" i="1"/>
  <c r="AE26" i="1"/>
  <c r="AF26" i="1" s="1"/>
  <c r="AH67" i="1"/>
  <c r="AK67" i="1" s="1"/>
  <c r="AE253" i="1"/>
  <c r="AF253" i="1" s="1"/>
  <c r="AH313" i="1"/>
  <c r="AK313" i="1" s="1"/>
  <c r="AH254" i="1"/>
  <c r="AE264" i="1"/>
  <c r="AF264" i="1" s="1"/>
  <c r="AD191" i="1"/>
  <c r="AH157" i="1"/>
  <c r="AK157" i="1" s="1"/>
  <c r="AE329" i="1"/>
  <c r="AF329" i="1" s="1"/>
  <c r="AD368" i="1"/>
  <c r="AH244" i="1"/>
  <c r="AE157" i="1"/>
  <c r="AF157" i="1" s="1"/>
  <c r="AE360" i="1"/>
  <c r="AF360" i="1" s="1"/>
  <c r="AH279" i="1"/>
  <c r="AK279" i="1" s="1"/>
  <c r="AG260" i="1"/>
  <c r="AH335" i="1"/>
  <c r="AH329" i="1"/>
  <c r="AE368" i="1"/>
  <c r="AF368" i="1" s="1"/>
  <c r="AH264" i="1"/>
  <c r="AK264" i="1" s="1"/>
  <c r="AD279" i="1"/>
  <c r="AE256" i="1"/>
  <c r="AF256" i="1" s="1"/>
  <c r="AD201" i="1"/>
  <c r="AH58" i="1"/>
  <c r="AK58" i="1" s="1"/>
  <c r="AD264" i="1"/>
  <c r="AH360" i="1"/>
  <c r="AD43" i="1"/>
  <c r="AE279" i="1"/>
  <c r="AF279" i="1" s="1"/>
  <c r="AE201" i="1"/>
  <c r="AF201" i="1" s="1"/>
  <c r="AH60" i="1"/>
  <c r="AD244" i="1"/>
  <c r="AE260" i="1"/>
  <c r="AF260" i="1" s="1"/>
  <c r="AH89" i="1"/>
  <c r="AK89" i="1" s="1"/>
  <c r="AH256" i="1"/>
  <c r="AK256" i="1" s="1"/>
  <c r="AH221" i="1"/>
  <c r="AD60" i="1"/>
  <c r="AD329" i="1"/>
  <c r="AH260" i="1"/>
  <c r="AK260" i="1" s="1"/>
  <c r="AE191" i="1"/>
  <c r="AF191" i="1" s="1"/>
  <c r="AD254" i="1"/>
  <c r="AD89" i="1"/>
  <c r="AH217" i="1"/>
  <c r="AD256" i="1"/>
  <c r="AH201" i="1"/>
  <c r="AE60" i="1"/>
  <c r="AF60" i="1" s="1"/>
  <c r="AH368" i="1"/>
  <c r="AE244" i="1"/>
  <c r="AF244" i="1" s="1"/>
  <c r="AH65" i="1"/>
  <c r="AK65" i="1" s="1"/>
  <c r="AD86" i="1"/>
  <c r="AG254" i="1"/>
  <c r="AE254" i="1"/>
  <c r="AF254" i="1" s="1"/>
  <c r="AE89" i="1"/>
  <c r="AF89" i="1" s="1"/>
  <c r="AD217" i="1"/>
  <c r="AD65" i="1"/>
  <c r="AE86" i="1"/>
  <c r="AF86" i="1" s="1"/>
  <c r="AD157" i="1"/>
  <c r="AH191" i="1"/>
  <c r="AK191" i="1" s="1"/>
  <c r="AE217" i="1"/>
  <c r="AF217" i="1" s="1"/>
  <c r="AH154" i="1"/>
  <c r="AK154" i="1" s="1"/>
  <c r="AH130" i="1"/>
  <c r="AE182" i="1"/>
  <c r="AF182" i="1" s="1"/>
  <c r="AD29" i="1"/>
  <c r="AD93" i="1"/>
  <c r="AE343" i="1"/>
  <c r="AF343" i="1" s="1"/>
  <c r="AH286" i="1"/>
  <c r="AK286" i="1" s="1"/>
  <c r="AH340" i="1"/>
  <c r="AH93" i="1"/>
  <c r="AG130" i="1"/>
  <c r="AD148" i="1"/>
  <c r="AG286" i="1"/>
  <c r="AD182" i="1"/>
  <c r="AD232" i="1"/>
  <c r="AD343" i="1"/>
  <c r="AE286" i="1"/>
  <c r="AF286" i="1" s="1"/>
  <c r="AE93" i="1"/>
  <c r="AF93" i="1" s="1"/>
  <c r="AD39" i="1"/>
  <c r="AH297" i="1"/>
  <c r="AH182" i="1"/>
  <c r="AE232" i="1"/>
  <c r="AF232" i="1" s="1"/>
  <c r="AH343" i="1"/>
  <c r="AH39" i="1"/>
  <c r="AK39" i="1" s="1"/>
  <c r="AH232" i="1"/>
  <c r="AK232" i="1" s="1"/>
  <c r="AG151" i="1"/>
  <c r="AH185" i="1"/>
  <c r="AD224" i="1"/>
  <c r="AE223" i="1"/>
  <c r="AF223" i="1" s="1"/>
  <c r="AE293" i="1"/>
  <c r="AF293" i="1" s="1"/>
  <c r="AD102" i="1"/>
  <c r="AD315" i="1"/>
  <c r="AE24" i="1"/>
  <c r="AF24" i="1" s="1"/>
  <c r="AE107" i="1"/>
  <c r="AF107" i="1" s="1"/>
  <c r="AH102" i="1"/>
  <c r="AK102" i="1" s="1"/>
  <c r="AE339" i="1"/>
  <c r="AF339" i="1" s="1"/>
  <c r="AE44" i="1"/>
  <c r="AF44" i="1" s="1"/>
  <c r="AH24" i="1"/>
  <c r="AE114" i="1"/>
  <c r="AF114" i="1" s="1"/>
  <c r="AD346" i="1"/>
  <c r="AD223" i="1"/>
  <c r="AG370" i="1"/>
  <c r="AH293" i="1"/>
  <c r="AD161" i="1"/>
  <c r="AD339" i="1"/>
  <c r="AH44" i="1"/>
  <c r="AK44" i="1" s="1"/>
  <c r="AH315" i="1"/>
  <c r="AK315" i="1" s="1"/>
  <c r="AH346" i="1"/>
  <c r="AE346" i="1"/>
  <c r="AF346" i="1" s="1"/>
  <c r="AH223" i="1"/>
  <c r="AK223" i="1" s="1"/>
  <c r="AD114" i="1"/>
  <c r="AE185" i="1"/>
  <c r="AF185" i="1" s="1"/>
  <c r="AH347" i="1"/>
  <c r="AK347" i="1" s="1"/>
  <c r="AH370" i="1"/>
  <c r="AK370" i="1" s="1"/>
  <c r="AH339" i="1"/>
  <c r="AK339" i="1" s="1"/>
  <c r="AD145" i="1"/>
  <c r="AD44" i="1"/>
  <c r="AD24" i="1"/>
  <c r="AH38" i="1"/>
  <c r="AK38" i="1" s="1"/>
  <c r="AH178" i="1"/>
  <c r="AG145" i="1"/>
  <c r="AH114" i="1"/>
  <c r="AD370" i="1"/>
  <c r="AD151" i="1"/>
  <c r="AH145" i="1"/>
  <c r="AK145" i="1" s="1"/>
  <c r="AD226" i="1"/>
  <c r="AH16" i="1"/>
  <c r="AD185" i="1"/>
  <c r="AH224" i="1"/>
  <c r="AE226" i="1"/>
  <c r="AF226" i="1" s="1"/>
  <c r="AH28" i="1"/>
  <c r="AK28" i="1" s="1"/>
  <c r="AD297" i="1"/>
  <c r="AE76" i="1"/>
  <c r="AF76" i="1" s="1"/>
  <c r="AH359" i="1"/>
  <c r="AK359" i="1" s="1"/>
  <c r="AE29" i="1"/>
  <c r="AF29" i="1" s="1"/>
  <c r="AE297" i="1"/>
  <c r="AF297" i="1" s="1"/>
  <c r="AG316" i="1"/>
  <c r="AD188" i="1"/>
  <c r="AE340" i="1"/>
  <c r="AF340" i="1" s="1"/>
  <c r="AE108" i="1"/>
  <c r="AF108" i="1" s="1"/>
  <c r="AD268" i="1"/>
  <c r="AD340" i="1"/>
  <c r="AE268" i="1"/>
  <c r="AF268" i="1" s="1"/>
  <c r="AE248" i="1"/>
  <c r="AF248" i="1" s="1"/>
  <c r="AH183" i="1"/>
  <c r="AH268" i="1"/>
  <c r="AH248" i="1"/>
  <c r="AK248" i="1" s="1"/>
  <c r="AD165" i="1"/>
  <c r="AD183" i="1"/>
  <c r="AD316" i="1"/>
  <c r="AD248" i="1"/>
  <c r="AH165" i="1"/>
  <c r="AG336" i="1"/>
  <c r="AH148" i="1"/>
  <c r="AD251" i="1"/>
  <c r="AH280" i="1"/>
  <c r="AE165" i="1"/>
  <c r="AF165" i="1" s="1"/>
  <c r="AH95" i="1"/>
  <c r="AK95" i="1" s="1"/>
  <c r="AH351" i="1"/>
  <c r="AK351" i="1" s="1"/>
  <c r="AD181" i="1"/>
  <c r="AE74" i="1"/>
  <c r="AF74" i="1" s="1"/>
  <c r="AH49" i="1"/>
  <c r="AK49" i="1" s="1"/>
  <c r="AE251" i="1"/>
  <c r="AF251" i="1" s="1"/>
  <c r="AD216" i="1"/>
  <c r="AE280" i="1"/>
  <c r="AF280" i="1" s="1"/>
  <c r="AD76" i="1"/>
  <c r="AH188" i="1"/>
  <c r="AE181" i="1"/>
  <c r="AF181" i="1" s="1"/>
  <c r="AH367" i="1"/>
  <c r="AK367" i="1" s="1"/>
  <c r="AD108" i="1"/>
  <c r="AH29" i="1"/>
  <c r="AK29" i="1" s="1"/>
  <c r="AE316" i="1"/>
  <c r="AF316" i="1" s="1"/>
  <c r="AE351" i="1"/>
  <c r="AF351" i="1" s="1"/>
  <c r="AD246" i="1"/>
  <c r="AD49" i="1"/>
  <c r="AH55" i="1"/>
  <c r="AK55" i="1" s="1"/>
  <c r="AH251" i="1"/>
  <c r="AD292" i="1"/>
  <c r="AE324" i="1"/>
  <c r="AF324" i="1" s="1"/>
  <c r="AH76" i="1"/>
  <c r="AK76" i="1" s="1"/>
  <c r="AH181" i="1"/>
  <c r="AK181" i="1" s="1"/>
  <c r="AD95" i="1"/>
  <c r="AE246" i="1"/>
  <c r="AF246" i="1" s="1"/>
  <c r="AG56" i="1"/>
  <c r="AG351" i="1"/>
  <c r="AD324" i="1"/>
  <c r="AE359" i="1"/>
  <c r="AF359" i="1" s="1"/>
  <c r="AE95" i="1"/>
  <c r="AF95" i="1" s="1"/>
  <c r="AD276" i="1"/>
  <c r="AE49" i="1"/>
  <c r="AF49" i="1" s="1"/>
  <c r="AE290" i="1"/>
  <c r="AF290" i="1" s="1"/>
  <c r="AH324" i="1"/>
  <c r="AK324" i="1" s="1"/>
  <c r="AD306" i="1"/>
  <c r="AH336" i="1"/>
  <c r="AK336" i="1" s="1"/>
  <c r="AD359" i="1"/>
  <c r="AH246" i="1"/>
  <c r="AE120" i="1"/>
  <c r="AF120" i="1" s="1"/>
  <c r="AH56" i="1"/>
  <c r="AE80" i="1"/>
  <c r="AF80" i="1" s="1"/>
  <c r="AE148" i="1"/>
  <c r="AF148" i="1" s="1"/>
  <c r="AE306" i="1"/>
  <c r="AF306" i="1" s="1"/>
  <c r="AD22" i="1"/>
  <c r="AE336" i="1"/>
  <c r="AF336" i="1" s="1"/>
  <c r="AH306" i="1"/>
  <c r="AD280" i="1"/>
  <c r="AE307" i="1"/>
  <c r="AF307" i="1" s="1"/>
  <c r="AD337" i="1"/>
  <c r="AE188" i="1"/>
  <c r="AF188" i="1" s="1"/>
  <c r="AE287" i="1"/>
  <c r="AF287" i="1" s="1"/>
  <c r="AD365" i="1"/>
  <c r="AE183" i="1"/>
  <c r="AF183" i="1" s="1"/>
  <c r="AH108" i="1"/>
  <c r="AD55" i="1"/>
  <c r="AD205" i="1"/>
  <c r="AH292" i="1"/>
  <c r="AG120" i="1"/>
  <c r="AD288" i="1"/>
  <c r="AH80" i="1"/>
  <c r="AH263" i="1"/>
  <c r="AK263" i="1" s="1"/>
  <c r="AH92" i="1"/>
  <c r="AE22" i="1"/>
  <c r="AF22" i="1" s="1"/>
  <c r="AE337" i="1"/>
  <c r="AF337" i="1" s="1"/>
  <c r="AD332" i="1"/>
  <c r="AE365" i="1"/>
  <c r="AF365" i="1" s="1"/>
  <c r="AD259" i="1"/>
  <c r="AD115" i="1"/>
  <c r="AE276" i="1"/>
  <c r="AF276" i="1" s="1"/>
  <c r="AE156" i="1"/>
  <c r="AF156" i="1" s="1"/>
  <c r="AE55" i="1"/>
  <c r="AF55" i="1" s="1"/>
  <c r="AE205" i="1"/>
  <c r="AF205" i="1" s="1"/>
  <c r="AE292" i="1"/>
  <c r="AF292" i="1" s="1"/>
  <c r="AE288" i="1"/>
  <c r="AF288" i="1" s="1"/>
  <c r="AG259" i="1"/>
  <c r="AD69" i="1"/>
  <c r="AD92" i="1"/>
  <c r="AH22" i="1"/>
  <c r="AK22" i="1" s="1"/>
  <c r="AH307" i="1"/>
  <c r="AK307" i="1" s="1"/>
  <c r="AD154" i="1"/>
  <c r="AE259" i="1"/>
  <c r="AF259" i="1" s="1"/>
  <c r="AE115" i="1"/>
  <c r="AF115" i="1" s="1"/>
  <c r="AD367" i="1"/>
  <c r="AD37" i="1"/>
  <c r="AG42" i="1"/>
  <c r="AG154" i="1"/>
  <c r="AD250" i="1"/>
  <c r="AE69" i="1"/>
  <c r="AF69" i="1" s="1"/>
  <c r="AE92" i="1"/>
  <c r="AF92" i="1" s="1"/>
  <c r="AE270" i="1"/>
  <c r="AF270" i="1" s="1"/>
  <c r="AG276" i="1"/>
  <c r="AH261" i="1"/>
  <c r="AK261" i="1" s="1"/>
  <c r="AH14" i="1"/>
  <c r="AK14" i="1" s="1"/>
  <c r="AH365" i="1"/>
  <c r="AK365" i="1" s="1"/>
  <c r="AD156" i="1"/>
  <c r="AH37" i="1"/>
  <c r="AK37" i="1" s="1"/>
  <c r="AD189" i="1"/>
  <c r="AG287" i="1"/>
  <c r="AE189" i="1"/>
  <c r="AF189" i="1" s="1"/>
  <c r="AH205" i="1"/>
  <c r="AH288" i="1"/>
  <c r="AE250" i="1"/>
  <c r="AF250" i="1" s="1"/>
  <c r="AH270" i="1"/>
  <c r="AD261" i="1"/>
  <c r="AD14" i="1"/>
  <c r="AE152" i="1"/>
  <c r="AF152" i="1" s="1"/>
  <c r="AH115" i="1"/>
  <c r="AK115" i="1" s="1"/>
  <c r="AD42" i="1"/>
  <c r="AH156" i="1"/>
  <c r="AE37" i="1"/>
  <c r="AF37" i="1" s="1"/>
  <c r="AH69" i="1"/>
  <c r="AE261" i="1"/>
  <c r="AF261" i="1" s="1"/>
  <c r="AE14" i="1"/>
  <c r="AF14" i="1" s="1"/>
  <c r="AH152" i="1"/>
  <c r="AK152" i="1" s="1"/>
  <c r="AE42" i="1"/>
  <c r="AF42" i="1" s="1"/>
  <c r="AG74" i="1"/>
  <c r="AH189" i="1"/>
  <c r="AK189" i="1" s="1"/>
  <c r="AH250" i="1"/>
  <c r="AK250" i="1" s="1"/>
  <c r="AD263" i="1"/>
  <c r="AD270" i="1"/>
  <c r="AH332" i="1"/>
  <c r="AK332" i="1" s="1"/>
  <c r="AH287" i="1"/>
  <c r="AK287" i="1" s="1"/>
  <c r="AD152" i="1"/>
  <c r="AH42" i="1"/>
  <c r="AK42" i="1" s="1"/>
  <c r="AD120" i="1"/>
  <c r="AH74" i="1"/>
  <c r="AK74" i="1" s="1"/>
  <c r="AD80" i="1"/>
  <c r="AE263" i="1"/>
  <c r="AF263" i="1" s="1"/>
  <c r="AD307" i="1"/>
  <c r="AH337" i="1"/>
  <c r="AG367" i="1"/>
  <c r="AE332" i="1"/>
  <c r="AF332" i="1" s="1"/>
  <c r="AE117" i="1"/>
  <c r="AF117" i="1" s="1"/>
  <c r="AH87" i="1"/>
  <c r="AK87" i="1" s="1"/>
  <c r="AG350" i="1"/>
  <c r="AE225" i="1"/>
  <c r="AF225" i="1" s="1"/>
  <c r="AD15" i="1"/>
  <c r="AH91" i="1"/>
  <c r="AK91" i="1" s="1"/>
  <c r="AH85" i="1"/>
  <c r="AK85" i="1" s="1"/>
  <c r="AD87" i="1"/>
  <c r="AH159" i="1"/>
  <c r="AD91" i="1"/>
  <c r="AE85" i="1"/>
  <c r="AF85" i="1" s="1"/>
  <c r="AE87" i="1"/>
  <c r="AF87" i="1" s="1"/>
  <c r="AH350" i="1"/>
  <c r="AK350" i="1" s="1"/>
  <c r="AG225" i="1"/>
  <c r="AD350" i="1"/>
  <c r="AG91" i="1"/>
  <c r="AD52" i="1"/>
  <c r="AE350" i="1"/>
  <c r="AF350" i="1" s="1"/>
  <c r="AH15" i="1"/>
  <c r="AH117" i="1"/>
  <c r="AK117" i="1" s="1"/>
  <c r="AE70" i="1"/>
  <c r="AF70" i="1" s="1"/>
  <c r="AH225" i="1"/>
  <c r="AD117" i="1"/>
  <c r="AD159" i="1"/>
  <c r="AE15" i="1"/>
  <c r="AF15" i="1" s="1"/>
  <c r="AG179" i="1"/>
  <c r="AE43" i="1"/>
  <c r="AF43" i="1" s="1"/>
  <c r="AG221" i="1"/>
  <c r="AD221" i="1"/>
  <c r="AD171" i="1"/>
  <c r="AD41" i="1"/>
  <c r="AE179" i="1"/>
  <c r="AF179" i="1" s="1"/>
  <c r="AE221" i="1"/>
  <c r="AF221" i="1" s="1"/>
  <c r="AH41" i="1"/>
  <c r="AK41" i="1" s="1"/>
  <c r="AG88" i="1"/>
  <c r="AE173" i="1"/>
  <c r="AF173" i="1" s="1"/>
  <c r="AE41" i="1"/>
  <c r="AF41" i="1" s="1"/>
  <c r="AH179" i="1"/>
  <c r="AK179" i="1" s="1"/>
  <c r="AD335" i="1"/>
  <c r="AD173" i="1"/>
  <c r="AG43" i="1"/>
  <c r="AE335" i="1"/>
  <c r="AF335" i="1" s="1"/>
  <c r="AH173" i="1"/>
  <c r="AK173" i="1" s="1"/>
  <c r="AH75" i="1"/>
  <c r="AD58" i="1"/>
  <c r="AH215" i="1"/>
  <c r="AK215" i="1" s="1"/>
  <c r="AE349" i="1"/>
  <c r="AF349" i="1" s="1"/>
  <c r="AE38" i="1"/>
  <c r="AF38" i="1" s="1"/>
  <c r="AE178" i="1"/>
  <c r="AF178" i="1" s="1"/>
  <c r="AD215" i="1"/>
  <c r="AE347" i="1"/>
  <c r="AF347" i="1" s="1"/>
  <c r="AD107" i="1"/>
  <c r="AH161" i="1"/>
  <c r="AE45" i="1"/>
  <c r="AF45" i="1" s="1"/>
  <c r="AD28" i="1"/>
  <c r="AE16" i="1"/>
  <c r="AF16" i="1" s="1"/>
  <c r="AD38" i="1"/>
  <c r="AD178" i="1"/>
  <c r="AD327" i="1"/>
  <c r="AE161" i="1"/>
  <c r="AF161" i="1" s="1"/>
  <c r="AD308" i="1"/>
  <c r="AE28" i="1"/>
  <c r="AF28" i="1" s="1"/>
  <c r="AE327" i="1"/>
  <c r="AF327" i="1" s="1"/>
  <c r="AE236" i="1"/>
  <c r="AF236" i="1" s="1"/>
  <c r="AH107" i="1"/>
  <c r="AD127" i="1"/>
  <c r="AE319" i="1"/>
  <c r="AF319" i="1" s="1"/>
  <c r="AE308" i="1"/>
  <c r="AF308" i="1" s="1"/>
  <c r="AH236" i="1"/>
  <c r="AD31" i="1"/>
  <c r="AD294" i="1"/>
  <c r="AG213" i="1"/>
  <c r="AD62" i="1"/>
  <c r="AH327" i="1"/>
  <c r="AK327" i="1" s="1"/>
  <c r="AD349" i="1"/>
  <c r="AH267" i="1"/>
  <c r="AD236" i="1"/>
  <c r="AH31" i="1"/>
  <c r="AE127" i="1"/>
  <c r="AF127" i="1" s="1"/>
  <c r="AE294" i="1"/>
  <c r="AF294" i="1" s="1"/>
  <c r="AD356" i="1"/>
  <c r="AD213" i="1"/>
  <c r="AH62" i="1"/>
  <c r="AK62" i="1" s="1"/>
  <c r="AE62" i="1"/>
  <c r="AF62" i="1" s="1"/>
  <c r="AE215" i="1"/>
  <c r="AF215" i="1" s="1"/>
  <c r="AH349" i="1"/>
  <c r="AK349" i="1" s="1"/>
  <c r="AD267" i="1"/>
  <c r="AE31" i="1"/>
  <c r="AF31" i="1" s="1"/>
  <c r="AH127" i="1"/>
  <c r="AK127" i="1" s="1"/>
  <c r="AH294" i="1"/>
  <c r="AK294" i="1" s="1"/>
  <c r="AE356" i="1"/>
  <c r="AF356" i="1" s="1"/>
  <c r="AH45" i="1"/>
  <c r="AK45" i="1" s="1"/>
  <c r="AH213" i="1"/>
  <c r="AD302" i="1"/>
  <c r="AE267" i="1"/>
  <c r="AF267" i="1" s="1"/>
  <c r="AD347" i="1"/>
  <c r="AH356" i="1"/>
  <c r="AK356" i="1" s="1"/>
  <c r="AD45" i="1"/>
  <c r="AH302" i="1"/>
  <c r="AD16" i="1"/>
  <c r="AD70" i="1"/>
  <c r="AD239" i="1"/>
  <c r="AD309" i="1"/>
  <c r="AE94" i="1"/>
  <c r="AF94" i="1" s="1"/>
  <c r="AH52" i="1"/>
  <c r="AK52" i="1" s="1"/>
  <c r="AE142" i="1"/>
  <c r="AF142" i="1" s="1"/>
  <c r="AH53" i="1"/>
  <c r="AK53" i="1" s="1"/>
  <c r="AH174" i="1"/>
  <c r="AG142" i="1"/>
  <c r="AE309" i="1"/>
  <c r="AF309" i="1" s="1"/>
  <c r="AD94" i="1"/>
  <c r="AE52" i="1"/>
  <c r="AF52" i="1" s="1"/>
  <c r="AD247" i="1"/>
  <c r="AH94" i="1"/>
  <c r="AK94" i="1" s="1"/>
  <c r="AE103" i="1"/>
  <c r="AF103" i="1" s="1"/>
  <c r="AD61" i="1"/>
  <c r="AD175" i="1"/>
  <c r="AH132" i="1"/>
  <c r="AH79" i="1"/>
  <c r="AE247" i="1"/>
  <c r="AF247" i="1" s="1"/>
  <c r="AD40" i="1"/>
  <c r="AD126" i="1"/>
  <c r="AH203" i="1"/>
  <c r="AK203" i="1" s="1"/>
  <c r="AD167" i="1"/>
  <c r="AD222" i="1"/>
  <c r="AG132" i="1"/>
  <c r="AE132" i="1"/>
  <c r="AF132" i="1" s="1"/>
  <c r="AE40" i="1"/>
  <c r="AF40" i="1" s="1"/>
  <c r="AE126" i="1"/>
  <c r="AF126" i="1" s="1"/>
  <c r="AD203" i="1"/>
  <c r="AH129" i="1"/>
  <c r="AH222" i="1"/>
  <c r="AK222" i="1" s="1"/>
  <c r="AE90" i="1"/>
  <c r="AF90" i="1" s="1"/>
  <c r="AE222" i="1"/>
  <c r="AF222" i="1" s="1"/>
  <c r="AH247" i="1"/>
  <c r="AK247" i="1" s="1"/>
  <c r="AH126" i="1"/>
  <c r="AD142" i="1"/>
  <c r="AH19" i="1"/>
  <c r="AH70" i="1"/>
  <c r="AH309" i="1"/>
  <c r="AE147" i="1"/>
  <c r="AF147" i="1" s="1"/>
  <c r="AD53" i="1"/>
  <c r="AD174" i="1"/>
  <c r="AE216" i="1"/>
  <c r="AF216" i="1" s="1"/>
  <c r="AH305" i="1"/>
  <c r="AK305" i="1" s="1"/>
  <c r="AE100" i="1"/>
  <c r="AF100" i="1" s="1"/>
  <c r="AD290" i="1"/>
  <c r="AD305" i="1"/>
  <c r="AH116" i="1"/>
  <c r="AK116" i="1" s="1"/>
  <c r="AE305" i="1"/>
  <c r="AF305" i="1" s="1"/>
  <c r="AD262" i="1"/>
  <c r="AG266" i="1"/>
  <c r="AD116" i="1"/>
  <c r="AE110" i="1"/>
  <c r="AF110" i="1" s="1"/>
  <c r="AH78" i="1"/>
  <c r="AK78" i="1" s="1"/>
  <c r="AE21" i="1"/>
  <c r="AF21" i="1" s="1"/>
  <c r="AE262" i="1"/>
  <c r="AF262" i="1" s="1"/>
  <c r="AE116" i="1"/>
  <c r="AF116" i="1" s="1"/>
  <c r="AD110" i="1"/>
  <c r="AD78" i="1"/>
  <c r="AH21" i="1"/>
  <c r="AH110" i="1"/>
  <c r="AK110" i="1" s="1"/>
  <c r="AE78" i="1"/>
  <c r="AF78" i="1" s="1"/>
  <c r="AD266" i="1"/>
  <c r="AH105" i="1"/>
  <c r="AE302" i="1"/>
  <c r="AF302" i="1" s="1"/>
  <c r="AD21" i="1"/>
  <c r="AH262" i="1"/>
  <c r="AE266" i="1"/>
  <c r="AF266" i="1" s="1"/>
  <c r="AD105" i="1"/>
  <c r="AH216" i="1"/>
  <c r="AH290" i="1"/>
  <c r="AH133" i="1"/>
  <c r="AK133" i="1" s="1"/>
  <c r="AE105" i="1"/>
  <c r="AF105" i="1" s="1"/>
  <c r="AH100" i="1"/>
  <c r="AK100" i="1" s="1"/>
  <c r="AE199" i="1"/>
  <c r="AF199" i="1" s="1"/>
  <c r="AD96" i="1"/>
  <c r="AH134" i="1"/>
  <c r="AH61" i="1"/>
  <c r="AK61" i="1" s="1"/>
  <c r="AE122" i="1"/>
  <c r="AF122" i="1" s="1"/>
  <c r="AH301" i="1"/>
  <c r="AK301" i="1" s="1"/>
  <c r="AD103" i="1"/>
  <c r="AD301" i="1"/>
  <c r="AD296" i="1"/>
  <c r="AD64" i="1"/>
  <c r="AD143" i="1"/>
  <c r="AE96" i="1"/>
  <c r="AF96" i="1" s="1"/>
  <c r="AE79" i="1"/>
  <c r="AF79" i="1" s="1"/>
  <c r="AG140" i="1"/>
  <c r="AE352" i="1"/>
  <c r="AF352" i="1" s="1"/>
  <c r="AH362" i="1"/>
  <c r="AK362" i="1" s="1"/>
  <c r="AD140" i="1"/>
  <c r="AD168" i="1"/>
  <c r="AE58" i="1"/>
  <c r="AF58" i="1" s="1"/>
  <c r="AE200" i="1"/>
  <c r="AF200" i="1" s="1"/>
  <c r="AH103" i="1"/>
  <c r="AK103" i="1" s="1"/>
  <c r="AH167" i="1"/>
  <c r="AK167" i="1" s="1"/>
  <c r="AH90" i="1"/>
  <c r="AK90" i="1" s="1"/>
  <c r="AH199" i="1"/>
  <c r="AK199" i="1" s="1"/>
  <c r="AH187" i="1"/>
  <c r="AE61" i="1"/>
  <c r="AF61" i="1" s="1"/>
  <c r="AE106" i="1"/>
  <c r="AF106" i="1" s="1"/>
  <c r="AE301" i="1"/>
  <c r="AF301" i="1" s="1"/>
  <c r="AD54" i="1"/>
  <c r="AH96" i="1"/>
  <c r="AH40" i="1"/>
  <c r="AE167" i="1"/>
  <c r="AF167" i="1" s="1"/>
  <c r="AE296" i="1"/>
  <c r="AF296" i="1" s="1"/>
  <c r="AE64" i="1"/>
  <c r="AF64" i="1" s="1"/>
  <c r="AE19" i="1"/>
  <c r="AF19" i="1" s="1"/>
  <c r="AE143" i="1"/>
  <c r="AF143" i="1" s="1"/>
  <c r="AH352" i="1"/>
  <c r="AD176" i="1"/>
  <c r="AD362" i="1"/>
  <c r="AH140" i="1"/>
  <c r="AG198" i="1"/>
  <c r="AH200" i="1"/>
  <c r="AD198" i="1"/>
  <c r="AD199" i="1"/>
  <c r="AE255" i="1"/>
  <c r="AF255" i="1" s="1"/>
  <c r="AD187" i="1"/>
  <c r="AH54" i="1"/>
  <c r="AK54" i="1" s="1"/>
  <c r="AE187" i="1"/>
  <c r="AF187" i="1" s="1"/>
  <c r="AD122" i="1"/>
  <c r="AD19" i="1"/>
  <c r="AH176" i="1"/>
  <c r="AH147" i="1"/>
  <c r="AK147" i="1" s="1"/>
  <c r="AD129" i="1"/>
  <c r="AD90" i="1"/>
  <c r="AE176" i="1"/>
  <c r="AF176" i="1" s="1"/>
  <c r="AH239" i="1"/>
  <c r="AK239" i="1" s="1"/>
  <c r="AE168" i="1"/>
  <c r="AF168" i="1" s="1"/>
  <c r="AE198" i="1"/>
  <c r="AF198" i="1" s="1"/>
  <c r="AD231" i="1"/>
  <c r="AE54" i="1"/>
  <c r="AF54" i="1" s="1"/>
  <c r="AH88" i="1"/>
  <c r="AK88" i="1" s="1"/>
  <c r="AH296" i="1"/>
  <c r="AD352" i="1"/>
  <c r="AE362" i="1"/>
  <c r="AF362" i="1" s="1"/>
  <c r="AE140" i="1"/>
  <c r="AF140" i="1" s="1"/>
  <c r="AG129" i="1"/>
  <c r="AE155" i="1"/>
  <c r="AF155" i="1" s="1"/>
  <c r="AH143" i="1"/>
  <c r="AE239" i="1"/>
  <c r="AF239" i="1" s="1"/>
  <c r="AH155" i="1"/>
  <c r="AH168" i="1"/>
  <c r="AK168" i="1" s="1"/>
  <c r="AD200" i="1"/>
  <c r="AE231" i="1"/>
  <c r="AF231" i="1" s="1"/>
  <c r="AD255" i="1"/>
  <c r="AE175" i="1"/>
  <c r="AF175" i="1" s="1"/>
  <c r="AE171" i="1"/>
  <c r="AF171" i="1" s="1"/>
  <c r="AD88" i="1"/>
  <c r="AD134" i="1"/>
  <c r="AH64" i="1"/>
  <c r="AK64" i="1" s="1"/>
  <c r="AD79" i="1"/>
  <c r="AH231" i="1"/>
  <c r="AE134" i="1"/>
  <c r="AF134" i="1" s="1"/>
  <c r="AH255" i="1"/>
  <c r="AH122" i="1"/>
  <c r="AK122" i="1" s="1"/>
  <c r="AE298" i="1"/>
  <c r="AF298" i="1" s="1"/>
  <c r="AH171" i="1"/>
  <c r="AK171" i="1" s="1"/>
  <c r="AD128" i="1"/>
  <c r="AD75" i="1"/>
  <c r="AD170" i="1"/>
  <c r="AD106" i="1"/>
  <c r="AH363" i="1"/>
  <c r="AD13" i="1"/>
  <c r="AH128" i="1"/>
  <c r="AK128" i="1" s="1"/>
  <c r="AE75" i="1"/>
  <c r="AF75" i="1" s="1"/>
  <c r="AH170" i="1"/>
  <c r="AK170" i="1" s="1"/>
  <c r="AD63" i="1"/>
  <c r="AH252" i="1"/>
  <c r="AH106" i="1"/>
  <c r="AK106" i="1" s="1"/>
  <c r="AD363" i="1"/>
  <c r="AE170" i="1"/>
  <c r="AF170" i="1" s="1"/>
  <c r="AH63" i="1"/>
  <c r="AK63" i="1" s="1"/>
  <c r="AD209" i="1"/>
  <c r="AE13" i="1"/>
  <c r="AF13" i="1" s="1"/>
  <c r="AE128" i="1"/>
  <c r="AF128" i="1" s="1"/>
  <c r="AE63" i="1"/>
  <c r="AF63" i="1" s="1"/>
  <c r="AH209" i="1"/>
  <c r="AH13" i="1"/>
  <c r="AD147" i="1"/>
  <c r="AE209" i="1"/>
  <c r="AF209" i="1" s="1"/>
  <c r="AE257" i="1"/>
  <c r="AF257" i="1" s="1"/>
  <c r="AH81" i="1"/>
  <c r="AH238" i="1"/>
  <c r="AK238" i="1" s="1"/>
  <c r="AD172" i="1"/>
  <c r="AE46" i="1"/>
  <c r="AF46" i="1" s="1"/>
  <c r="AE133" i="1"/>
  <c r="AF133" i="1" s="1"/>
  <c r="AH172" i="1"/>
  <c r="AK172" i="1" s="1"/>
  <c r="AD133" i="1"/>
  <c r="AD320" i="1"/>
  <c r="AD238" i="1"/>
  <c r="AH320" i="1"/>
  <c r="AK320" i="1" s="1"/>
  <c r="AE238" i="1"/>
  <c r="AF238" i="1" s="1"/>
  <c r="AE172" i="1"/>
  <c r="AF172" i="1" s="1"/>
  <c r="AD82" i="1"/>
  <c r="AH319" i="1"/>
  <c r="AE82" i="1"/>
  <c r="AF82" i="1" s="1"/>
  <c r="AD56" i="1"/>
  <c r="AG319" i="1"/>
  <c r="AH82" i="1"/>
  <c r="AE56" i="1"/>
  <c r="AF56" i="1" s="1"/>
  <c r="AG252" i="1"/>
  <c r="AE252" i="1"/>
  <c r="AF252" i="1" s="1"/>
  <c r="AD46" i="1"/>
  <c r="AH257" i="1"/>
  <c r="AH46" i="1"/>
  <c r="AI51" i="1"/>
  <c r="AI265" i="1"/>
  <c r="AI193" i="1"/>
  <c r="AI202" i="1"/>
  <c r="AI169" i="1"/>
  <c r="AI355" i="1"/>
  <c r="AI71" i="1"/>
  <c r="AI184" i="1"/>
  <c r="AI275" i="1"/>
  <c r="AI32" i="1"/>
  <c r="AI331" i="1"/>
  <c r="AI357" i="1"/>
  <c r="AI98" i="1"/>
  <c r="AI269" i="1"/>
  <c r="AI318" i="1"/>
  <c r="AI325" i="1"/>
  <c r="AI196" i="1"/>
  <c r="AI295" i="1"/>
  <c r="AI245" i="1" l="1"/>
  <c r="AI177" i="1"/>
  <c r="AI43" i="1"/>
  <c r="AI266" i="1"/>
  <c r="AI330" i="1"/>
  <c r="AI144" i="1"/>
  <c r="AI151" i="1"/>
  <c r="AI259" i="1"/>
  <c r="AI354" i="1"/>
  <c r="AI142" i="1"/>
  <c r="AI210" i="1"/>
  <c r="AI120" i="1"/>
  <c r="AI204" i="1"/>
  <c r="AI312" i="1"/>
  <c r="AI276" i="1"/>
  <c r="AI190" i="1"/>
  <c r="AI316" i="1"/>
  <c r="AI198" i="1"/>
  <c r="AI289" i="1"/>
  <c r="AI105" i="1"/>
  <c r="AK105" i="1"/>
  <c r="AI213" i="1"/>
  <c r="AK213" i="1"/>
  <c r="AI293" i="1"/>
  <c r="AK293" i="1"/>
  <c r="AI366" i="1"/>
  <c r="AK366" i="1"/>
  <c r="AI81" i="1"/>
  <c r="AK81" i="1"/>
  <c r="AI40" i="1"/>
  <c r="AK40" i="1"/>
  <c r="AI132" i="1"/>
  <c r="AK132" i="1"/>
  <c r="AI31" i="1"/>
  <c r="AK31" i="1"/>
  <c r="AI225" i="1"/>
  <c r="AK225" i="1"/>
  <c r="AI337" i="1"/>
  <c r="AK337" i="1"/>
  <c r="AI165" i="1"/>
  <c r="AK165" i="1"/>
  <c r="AI178" i="1"/>
  <c r="AK178" i="1"/>
  <c r="AI297" i="1"/>
  <c r="AK297" i="1"/>
  <c r="AI27" i="1"/>
  <c r="AK27" i="1"/>
  <c r="AI317" i="1"/>
  <c r="AK317" i="1"/>
  <c r="AI341" i="1"/>
  <c r="AK341" i="1"/>
  <c r="AI186" i="1"/>
  <c r="AK186" i="1"/>
  <c r="AI121" i="1"/>
  <c r="AK121" i="1"/>
  <c r="AI284" i="1"/>
  <c r="AK284" i="1"/>
  <c r="AI185" i="1"/>
  <c r="AK185" i="1"/>
  <c r="AI283" i="1"/>
  <c r="AK283" i="1"/>
  <c r="AI257" i="1"/>
  <c r="AK257" i="1"/>
  <c r="AI352" i="1"/>
  <c r="AK352" i="1"/>
  <c r="AI290" i="1"/>
  <c r="AK290" i="1"/>
  <c r="AI309" i="1"/>
  <c r="AK309" i="1"/>
  <c r="AI174" i="1"/>
  <c r="AK174" i="1"/>
  <c r="AI267" i="1"/>
  <c r="AK267" i="1"/>
  <c r="AI75" i="1"/>
  <c r="AK75" i="1"/>
  <c r="AI56" i="1"/>
  <c r="AK56" i="1"/>
  <c r="AI93" i="1"/>
  <c r="AK93" i="1"/>
  <c r="AI221" i="1"/>
  <c r="AK221" i="1"/>
  <c r="AI298" i="1"/>
  <c r="AK298" i="1"/>
  <c r="AK25" i="1"/>
  <c r="AI25" i="1"/>
  <c r="AI23" i="1"/>
  <c r="AK23" i="1"/>
  <c r="AI18" i="1"/>
  <c r="AK18" i="1"/>
  <c r="AI123" i="1"/>
  <c r="AK123" i="1"/>
  <c r="AI109" i="1"/>
  <c r="AK109" i="1"/>
  <c r="AI296" i="1"/>
  <c r="AK296" i="1"/>
  <c r="AI161" i="1"/>
  <c r="AK161" i="1"/>
  <c r="AI130" i="1"/>
  <c r="AK130" i="1"/>
  <c r="AI334" i="1"/>
  <c r="AK334" i="1"/>
  <c r="AI20" i="1"/>
  <c r="AK20" i="1"/>
  <c r="AI319" i="1"/>
  <c r="AK319" i="1"/>
  <c r="AI143" i="1"/>
  <c r="AK143" i="1"/>
  <c r="AI216" i="1"/>
  <c r="AK216" i="1"/>
  <c r="AI70" i="1"/>
  <c r="AK70" i="1"/>
  <c r="AI129" i="1"/>
  <c r="AK129" i="1"/>
  <c r="AI302" i="1"/>
  <c r="AK302" i="1"/>
  <c r="AI15" i="1"/>
  <c r="AK15" i="1"/>
  <c r="AI69" i="1"/>
  <c r="AK69" i="1"/>
  <c r="AI270" i="1"/>
  <c r="AK270" i="1"/>
  <c r="AI340" i="1"/>
  <c r="AK340" i="1"/>
  <c r="AI217" i="1"/>
  <c r="AK217" i="1"/>
  <c r="AI360" i="1"/>
  <c r="AK360" i="1"/>
  <c r="AI329" i="1"/>
  <c r="AK329" i="1"/>
  <c r="AI253" i="1"/>
  <c r="AK253" i="1"/>
  <c r="AI153" i="1"/>
  <c r="AK153" i="1"/>
  <c r="AI131" i="1"/>
  <c r="AK131" i="1"/>
  <c r="AI175" i="1"/>
  <c r="AK175" i="1"/>
  <c r="AI118" i="1"/>
  <c r="AK118" i="1"/>
  <c r="AI249" i="1"/>
  <c r="AK249" i="1"/>
  <c r="AI201" i="1"/>
  <c r="AK201" i="1"/>
  <c r="AI13" i="1"/>
  <c r="AK13" i="1"/>
  <c r="AI363" i="1"/>
  <c r="AK363" i="1"/>
  <c r="AI255" i="1"/>
  <c r="AK255" i="1"/>
  <c r="AI176" i="1"/>
  <c r="AK176" i="1"/>
  <c r="AI134" i="1"/>
  <c r="AK134" i="1"/>
  <c r="AI19" i="1"/>
  <c r="AK19" i="1"/>
  <c r="AI92" i="1"/>
  <c r="AK92" i="1"/>
  <c r="AI108" i="1"/>
  <c r="AK108" i="1"/>
  <c r="AI306" i="1"/>
  <c r="AK306" i="1"/>
  <c r="AI246" i="1"/>
  <c r="AK246" i="1"/>
  <c r="AI280" i="1"/>
  <c r="AK280" i="1"/>
  <c r="AI346" i="1"/>
  <c r="AK346" i="1"/>
  <c r="AI335" i="1"/>
  <c r="AK335" i="1"/>
  <c r="AI277" i="1"/>
  <c r="AK277" i="1"/>
  <c r="AI68" i="1"/>
  <c r="AK68" i="1"/>
  <c r="AI326" i="1"/>
  <c r="AK326" i="1"/>
  <c r="AI219" i="1"/>
  <c r="AK219" i="1"/>
  <c r="AI112" i="1"/>
  <c r="AK112" i="1"/>
  <c r="AI180" i="1"/>
  <c r="AK180" i="1"/>
  <c r="AI241" i="1"/>
  <c r="AK241" i="1"/>
  <c r="AI162" i="1"/>
  <c r="AK162" i="1"/>
  <c r="AI229" i="1"/>
  <c r="AK229" i="1"/>
  <c r="AI328" i="1"/>
  <c r="AK328" i="1"/>
  <c r="AI160" i="1"/>
  <c r="AK160" i="1"/>
  <c r="AI364" i="1"/>
  <c r="AK364" i="1"/>
  <c r="AI96" i="1"/>
  <c r="AK96" i="1"/>
  <c r="AI292" i="1"/>
  <c r="AK292" i="1"/>
  <c r="AI300" i="1"/>
  <c r="AK300" i="1"/>
  <c r="AI138" i="1"/>
  <c r="AK138" i="1"/>
  <c r="AI209" i="1"/>
  <c r="AK209" i="1"/>
  <c r="AI200" i="1"/>
  <c r="AK200" i="1"/>
  <c r="AI21" i="1"/>
  <c r="AK21" i="1"/>
  <c r="AI107" i="1"/>
  <c r="AK107" i="1"/>
  <c r="AI159" i="1"/>
  <c r="AK159" i="1"/>
  <c r="AI156" i="1"/>
  <c r="AK156" i="1"/>
  <c r="AI288" i="1"/>
  <c r="AK288" i="1"/>
  <c r="AI343" i="1"/>
  <c r="AK343" i="1"/>
  <c r="AI278" i="1"/>
  <c r="AK278" i="1"/>
  <c r="AI139" i="1"/>
  <c r="AK139" i="1"/>
  <c r="AI48" i="1"/>
  <c r="AK48" i="1"/>
  <c r="AI304" i="1"/>
  <c r="AK304" i="1"/>
  <c r="AI135" i="1"/>
  <c r="AK135" i="1"/>
  <c r="AI192" i="1"/>
  <c r="AK192" i="1"/>
  <c r="AI281" i="1"/>
  <c r="AK281" i="1"/>
  <c r="AI59" i="1"/>
  <c r="AK59" i="1"/>
  <c r="AI73" i="1"/>
  <c r="AK73" i="1"/>
  <c r="AI155" i="1"/>
  <c r="AK155" i="1"/>
  <c r="AI188" i="1"/>
  <c r="AK188" i="1"/>
  <c r="AI244" i="1"/>
  <c r="AK244" i="1"/>
  <c r="AI333" i="1"/>
  <c r="AK333" i="1"/>
  <c r="AI252" i="1"/>
  <c r="AK252" i="1"/>
  <c r="AI231" i="1"/>
  <c r="AK231" i="1"/>
  <c r="AI187" i="1"/>
  <c r="AK187" i="1"/>
  <c r="AI262" i="1"/>
  <c r="AK262" i="1"/>
  <c r="AI126" i="1"/>
  <c r="AK126" i="1"/>
  <c r="AI205" i="1"/>
  <c r="AK205" i="1"/>
  <c r="AI80" i="1"/>
  <c r="AK80" i="1"/>
  <c r="AI148" i="1"/>
  <c r="AK148" i="1"/>
  <c r="AI268" i="1"/>
  <c r="AK268" i="1"/>
  <c r="AI114" i="1"/>
  <c r="AK114" i="1"/>
  <c r="AI24" i="1"/>
  <c r="AK24" i="1"/>
  <c r="AI150" i="1"/>
  <c r="AK150" i="1"/>
  <c r="AI220" i="1"/>
  <c r="AK220" i="1"/>
  <c r="AI124" i="1"/>
  <c r="AK124" i="1"/>
  <c r="AI258" i="1"/>
  <c r="AK258" i="1"/>
  <c r="AI322" i="1"/>
  <c r="AK322" i="1"/>
  <c r="AI323" i="1"/>
  <c r="AK323" i="1"/>
  <c r="AI207" i="1"/>
  <c r="AK207" i="1"/>
  <c r="AI227" i="1"/>
  <c r="AK227" i="1"/>
  <c r="AI208" i="1"/>
  <c r="AK208" i="1"/>
  <c r="AI282" i="1"/>
  <c r="AK282" i="1"/>
  <c r="AI369" i="1"/>
  <c r="AK369" i="1"/>
  <c r="AI46" i="1"/>
  <c r="AK46" i="1"/>
  <c r="AI236" i="1"/>
  <c r="AK236" i="1"/>
  <c r="AI16" i="1"/>
  <c r="AK16" i="1"/>
  <c r="AI26" i="1"/>
  <c r="AK26" i="1"/>
  <c r="AI82" i="1"/>
  <c r="AK82" i="1"/>
  <c r="AI140" i="1"/>
  <c r="AK140" i="1"/>
  <c r="AI79" i="1"/>
  <c r="AK79" i="1"/>
  <c r="AI251" i="1"/>
  <c r="AK251" i="1"/>
  <c r="AI183" i="1"/>
  <c r="AK183" i="1"/>
  <c r="AI224" i="1"/>
  <c r="AK224" i="1"/>
  <c r="AI182" i="1"/>
  <c r="AK182" i="1"/>
  <c r="AI368" i="1"/>
  <c r="AK368" i="1"/>
  <c r="AI60" i="1"/>
  <c r="AK60" i="1"/>
  <c r="AI254" i="1"/>
  <c r="AK254" i="1"/>
  <c r="AI237" i="1"/>
  <c r="AK237" i="1"/>
  <c r="AI272" i="1"/>
  <c r="AK272" i="1"/>
  <c r="AI353" i="1"/>
  <c r="AK353" i="1"/>
  <c r="AI344" i="1"/>
  <c r="AK344" i="1"/>
  <c r="AI310" i="1"/>
  <c r="AI35" i="1"/>
  <c r="AI137" i="1"/>
  <c r="AI30" i="1"/>
  <c r="AI285" i="1"/>
  <c r="AI164" i="1"/>
  <c r="AI158" i="1"/>
  <c r="AI33" i="1"/>
  <c r="AI308" i="1"/>
  <c r="AI166" i="1"/>
  <c r="L12" i="1"/>
  <c r="AI271" i="1"/>
  <c r="AI371" i="1"/>
  <c r="AI314" i="1"/>
  <c r="AI194" i="1"/>
  <c r="AI136" i="1"/>
  <c r="AI358" i="1"/>
  <c r="AI233" i="1"/>
  <c r="AI212" i="1"/>
  <c r="AI206" i="1"/>
  <c r="AI243" i="1"/>
  <c r="AI86" i="1"/>
  <c r="AI348" i="1"/>
  <c r="AI232" i="1"/>
  <c r="AI154" i="1"/>
  <c r="AI214" i="1"/>
  <c r="AI235" i="1"/>
  <c r="AI342" i="1"/>
  <c r="AI299" i="1"/>
  <c r="AI146" i="1"/>
  <c r="AI119" i="1"/>
  <c r="AI338" i="1"/>
  <c r="AI113" i="1"/>
  <c r="AI83" i="1"/>
  <c r="AI125" i="1"/>
  <c r="AI17" i="1"/>
  <c r="AI240" i="1"/>
  <c r="AI197" i="1"/>
  <c r="AI234" i="1"/>
  <c r="AI230" i="1"/>
  <c r="AI372" i="1"/>
  <c r="AI228" i="1"/>
  <c r="AI361" i="1"/>
  <c r="AI47" i="1"/>
  <c r="AI291" i="1"/>
  <c r="AI345" i="1"/>
  <c r="AI149" i="1"/>
  <c r="AI84" i="1"/>
  <c r="AI104" i="1"/>
  <c r="AI50" i="1"/>
  <c r="AI34" i="1"/>
  <c r="AI57" i="1"/>
  <c r="AI347" i="1"/>
  <c r="AI274" i="1"/>
  <c r="AI311" i="1"/>
  <c r="AI321" i="1"/>
  <c r="G55" i="6"/>
  <c r="AI97" i="1"/>
  <c r="AI351" i="1"/>
  <c r="AI163" i="1"/>
  <c r="E56" i="6"/>
  <c r="F56" i="6" s="1"/>
  <c r="C56" i="6"/>
  <c r="D56" i="6" s="1"/>
  <c r="A58" i="6"/>
  <c r="I57" i="6"/>
  <c r="J57" i="6" s="1"/>
  <c r="AI102" i="1"/>
  <c r="AI67" i="1"/>
  <c r="AI14" i="1"/>
  <c r="AI58" i="1"/>
  <c r="AI273" i="1"/>
  <c r="AI66" i="1"/>
  <c r="AI195" i="1"/>
  <c r="AI339" i="1"/>
  <c r="AI226" i="1"/>
  <c r="AI303" i="1"/>
  <c r="AI279" i="1"/>
  <c r="AI89" i="1"/>
  <c r="AI101" i="1"/>
  <c r="AI127" i="1"/>
  <c r="AI315" i="1"/>
  <c r="AI44" i="1"/>
  <c r="AI261" i="1"/>
  <c r="AI264" i="1"/>
  <c r="AI99" i="1"/>
  <c r="AI36" i="1"/>
  <c r="AI211" i="1"/>
  <c r="AI111" i="1"/>
  <c r="AI242" i="1"/>
  <c r="AI218" i="1"/>
  <c r="AI122" i="1"/>
  <c r="AI72" i="1"/>
  <c r="AI133" i="1"/>
  <c r="AI65" i="1"/>
  <c r="AI286" i="1"/>
  <c r="AI305" i="1"/>
  <c r="AI313" i="1"/>
  <c r="AI256" i="1"/>
  <c r="AI38" i="1"/>
  <c r="AI141" i="1"/>
  <c r="AI370" i="1"/>
  <c r="AI359" i="1"/>
  <c r="AI77" i="1"/>
  <c r="AI191" i="1"/>
  <c r="AI95" i="1"/>
  <c r="AI189" i="1"/>
  <c r="AI157" i="1"/>
  <c r="AI49" i="1"/>
  <c r="AI223" i="1"/>
  <c r="AI39" i="1"/>
  <c r="AI248" i="1"/>
  <c r="AI260" i="1"/>
  <c r="AI22" i="1"/>
  <c r="AI181" i="1"/>
  <c r="AI263" i="1"/>
  <c r="AI28" i="1"/>
  <c r="AI145" i="1"/>
  <c r="AI367" i="1"/>
  <c r="AI87" i="1"/>
  <c r="AI336" i="1"/>
  <c r="AI55" i="1"/>
  <c r="AI94" i="1"/>
  <c r="AI332" i="1"/>
  <c r="AI215" i="1"/>
  <c r="AI324" i="1"/>
  <c r="AI152" i="1"/>
  <c r="AI29" i="1"/>
  <c r="AI115" i="1"/>
  <c r="AI365" i="1"/>
  <c r="AI239" i="1"/>
  <c r="AI247" i="1"/>
  <c r="AI222" i="1"/>
  <c r="AI61" i="1"/>
  <c r="AI42" i="1"/>
  <c r="AI110" i="1"/>
  <c r="AI64" i="1"/>
  <c r="AI287" i="1"/>
  <c r="AI179" i="1"/>
  <c r="AI88" i="1"/>
  <c r="AI250" i="1"/>
  <c r="AI103" i="1"/>
  <c r="AI106" i="1"/>
  <c r="AI327" i="1"/>
  <c r="AI76" i="1"/>
  <c r="AI147" i="1"/>
  <c r="AI320" i="1"/>
  <c r="AI37" i="1"/>
  <c r="AI74" i="1"/>
  <c r="AI85" i="1"/>
  <c r="AI307" i="1"/>
  <c r="AI41" i="1"/>
  <c r="AI350" i="1"/>
  <c r="AI117" i="1"/>
  <c r="AI91" i="1"/>
  <c r="AI238" i="1"/>
  <c r="AI173" i="1"/>
  <c r="AI301" i="1"/>
  <c r="AI62" i="1"/>
  <c r="AI203" i="1"/>
  <c r="AI294" i="1"/>
  <c r="AI100" i="1"/>
  <c r="AI116" i="1"/>
  <c r="AI356" i="1"/>
  <c r="AI349" i="1"/>
  <c r="AI45" i="1"/>
  <c r="AI52" i="1"/>
  <c r="AI54" i="1"/>
  <c r="AI53" i="1"/>
  <c r="AI362" i="1"/>
  <c r="AI199" i="1"/>
  <c r="AI78" i="1"/>
  <c r="AI171" i="1"/>
  <c r="AI167" i="1"/>
  <c r="AI168" i="1"/>
  <c r="AI170" i="1"/>
  <c r="AI90" i="1"/>
  <c r="AI172" i="1"/>
  <c r="AI63" i="1"/>
  <c r="AI128" i="1"/>
  <c r="L19" i="1" l="1"/>
  <c r="L16" i="1"/>
  <c r="L17" i="1" s="1"/>
  <c r="O18" i="1"/>
  <c r="O28" i="1" s="1"/>
  <c r="O16" i="1"/>
  <c r="O17" i="1" s="1"/>
  <c r="O14" i="1"/>
  <c r="O15" i="1" s="1"/>
  <c r="L14" i="1"/>
  <c r="L15" i="1" s="1"/>
  <c r="L23" i="1" s="1"/>
  <c r="L24" i="1" s="1"/>
  <c r="L18" i="1"/>
  <c r="G56" i="6"/>
  <c r="A59" i="6"/>
  <c r="I58" i="6"/>
  <c r="J58" i="6" s="1"/>
  <c r="E57" i="6"/>
  <c r="F57" i="6" s="1"/>
  <c r="C57" i="6"/>
  <c r="D57" i="6" s="1"/>
  <c r="L25" i="1" l="1"/>
  <c r="L26" i="1" s="1"/>
  <c r="L27" i="1" s="1"/>
  <c r="L28" i="1"/>
  <c r="L20" i="1"/>
  <c r="G57" i="6"/>
  <c r="C58" i="6"/>
  <c r="D58" i="6" s="1"/>
  <c r="E58" i="6"/>
  <c r="F58" i="6" s="1"/>
  <c r="I59" i="6"/>
  <c r="J59" i="6" s="1"/>
  <c r="A60" i="6"/>
  <c r="C59" i="6" l="1"/>
  <c r="D59" i="6" s="1"/>
  <c r="E59" i="6"/>
  <c r="F59" i="6" s="1"/>
  <c r="A61" i="6"/>
  <c r="I60" i="6"/>
  <c r="J60" i="6" s="1"/>
  <c r="G58" i="6"/>
  <c r="G59" i="6" l="1"/>
  <c r="E60" i="6"/>
  <c r="F60" i="6" s="1"/>
  <c r="C60" i="6"/>
  <c r="D60" i="6" s="1"/>
  <c r="I61" i="6"/>
  <c r="J61" i="6" s="1"/>
  <c r="A62" i="6"/>
  <c r="G60" i="6" l="1"/>
  <c r="C61" i="6"/>
  <c r="D61" i="6" s="1"/>
  <c r="E61" i="6"/>
  <c r="F61" i="6" s="1"/>
  <c r="I62" i="6"/>
  <c r="J62" i="6" s="1"/>
  <c r="A63" i="6"/>
  <c r="C62" i="6" l="1"/>
  <c r="D62" i="6" s="1"/>
  <c r="E62" i="6"/>
  <c r="F62" i="6" s="1"/>
  <c r="A64" i="6"/>
  <c r="I63" i="6"/>
  <c r="J63" i="6" s="1"/>
  <c r="G61" i="6"/>
  <c r="E63" i="6" l="1"/>
  <c r="F63" i="6" s="1"/>
  <c r="C63" i="6"/>
  <c r="D63" i="6" s="1"/>
  <c r="A65" i="6"/>
  <c r="I64" i="6"/>
  <c r="J64" i="6" s="1"/>
  <c r="G62" i="6"/>
  <c r="G63" i="6" l="1"/>
  <c r="E64" i="6"/>
  <c r="F64" i="6" s="1"/>
  <c r="C64" i="6"/>
  <c r="D64" i="6" s="1"/>
  <c r="I65" i="6"/>
  <c r="J65" i="6" s="1"/>
  <c r="A66" i="6"/>
  <c r="G64" i="6" l="1"/>
  <c r="I66" i="6"/>
  <c r="J66" i="6" s="1"/>
  <c r="A67" i="6"/>
  <c r="C65" i="6"/>
  <c r="D65" i="6" s="1"/>
  <c r="E65" i="6"/>
  <c r="F65" i="6" s="1"/>
  <c r="C66" i="6" l="1"/>
  <c r="D66" i="6" s="1"/>
  <c r="E66" i="6"/>
  <c r="F66" i="6" s="1"/>
  <c r="G65" i="6"/>
  <c r="A68" i="6"/>
  <c r="I67" i="6"/>
  <c r="J67" i="6" s="1"/>
  <c r="A69" i="6" l="1"/>
  <c r="I68" i="6"/>
  <c r="J68" i="6" s="1"/>
  <c r="E67" i="6"/>
  <c r="F67" i="6" s="1"/>
  <c r="C67" i="6"/>
  <c r="D67" i="6" s="1"/>
  <c r="G66" i="6"/>
  <c r="G67" i="6" l="1"/>
  <c r="C68" i="6"/>
  <c r="D68" i="6" s="1"/>
  <c r="E68" i="6"/>
  <c r="F68" i="6" s="1"/>
  <c r="I69" i="6"/>
  <c r="J69" i="6" s="1"/>
  <c r="A70" i="6"/>
  <c r="E69" i="6" l="1"/>
  <c r="F69" i="6" s="1"/>
  <c r="C69" i="6"/>
  <c r="D69" i="6" s="1"/>
  <c r="A71" i="6"/>
  <c r="I70" i="6"/>
  <c r="J70" i="6" s="1"/>
  <c r="G68" i="6"/>
  <c r="G69" i="6" l="1"/>
  <c r="I71" i="6"/>
  <c r="J71" i="6" s="1"/>
  <c r="A72" i="6"/>
  <c r="C70" i="6"/>
  <c r="D70" i="6" s="1"/>
  <c r="E70" i="6"/>
  <c r="F70" i="6" s="1"/>
  <c r="G70" i="6" l="1"/>
  <c r="I72" i="6"/>
  <c r="J72" i="6" s="1"/>
  <c r="A73" i="6"/>
  <c r="E71" i="6"/>
  <c r="F71" i="6" s="1"/>
  <c r="C71" i="6"/>
  <c r="D71" i="6" s="1"/>
  <c r="G71" i="6" l="1"/>
  <c r="E72" i="6"/>
  <c r="F72" i="6" s="1"/>
  <c r="C72" i="6"/>
  <c r="D72" i="6" s="1"/>
  <c r="I73" i="6"/>
  <c r="J73" i="6" s="1"/>
  <c r="A74" i="6"/>
  <c r="G72" i="6" l="1"/>
  <c r="C73" i="6"/>
  <c r="D73" i="6" s="1"/>
  <c r="E73" i="6"/>
  <c r="F73" i="6" s="1"/>
  <c r="I74" i="6"/>
  <c r="J74" i="6" s="1"/>
  <c r="A75" i="6"/>
  <c r="C74" i="6" l="1"/>
  <c r="D74" i="6" s="1"/>
  <c r="E74" i="6"/>
  <c r="F74" i="6" s="1"/>
  <c r="I75" i="6"/>
  <c r="J75" i="6" s="1"/>
  <c r="A76" i="6"/>
  <c r="G73" i="6"/>
  <c r="E75" i="6" l="1"/>
  <c r="F75" i="6" s="1"/>
  <c r="C75" i="6"/>
  <c r="D75" i="6" s="1"/>
  <c r="A77" i="6"/>
  <c r="I76" i="6"/>
  <c r="J76" i="6" s="1"/>
  <c r="G74" i="6"/>
  <c r="G75" i="6" l="1"/>
  <c r="C76" i="6"/>
  <c r="D76" i="6" s="1"/>
  <c r="E76" i="6"/>
  <c r="F76" i="6" s="1"/>
  <c r="A78" i="6"/>
  <c r="I77" i="6"/>
  <c r="J77" i="6" s="1"/>
  <c r="E77" i="6" l="1"/>
  <c r="F77" i="6" s="1"/>
  <c r="C77" i="6"/>
  <c r="D77" i="6" s="1"/>
  <c r="I78" i="6"/>
  <c r="J78" i="6" s="1"/>
  <c r="A79" i="6"/>
  <c r="G76" i="6"/>
  <c r="G77" i="6" l="1"/>
  <c r="C78" i="6"/>
  <c r="D78" i="6" s="1"/>
  <c r="E78" i="6"/>
  <c r="F78" i="6" s="1"/>
  <c r="A80" i="6"/>
  <c r="I79" i="6"/>
  <c r="J79" i="6" s="1"/>
  <c r="A81" i="6" l="1"/>
  <c r="I80" i="6"/>
  <c r="J80" i="6" s="1"/>
  <c r="E79" i="6"/>
  <c r="F79" i="6" s="1"/>
  <c r="C79" i="6"/>
  <c r="D79" i="6" s="1"/>
  <c r="G78" i="6"/>
  <c r="G79" i="6" l="1"/>
  <c r="C80" i="6"/>
  <c r="D80" i="6" s="1"/>
  <c r="E80" i="6"/>
  <c r="F80" i="6" s="1"/>
  <c r="I81" i="6"/>
  <c r="J81" i="6" s="1"/>
  <c r="A82" i="6"/>
  <c r="E81" i="6" l="1"/>
  <c r="F81" i="6" s="1"/>
  <c r="C81" i="6"/>
  <c r="D81" i="6" s="1"/>
  <c r="I82" i="6"/>
  <c r="J82" i="6" s="1"/>
  <c r="A83" i="6"/>
  <c r="G80" i="6"/>
  <c r="G81" i="6" l="1"/>
  <c r="C82" i="6"/>
  <c r="D82" i="6" s="1"/>
  <c r="E82" i="6"/>
  <c r="F82" i="6" s="1"/>
  <c r="I83" i="6"/>
  <c r="J83" i="6" s="1"/>
  <c r="A84" i="6"/>
  <c r="I84" i="6" l="1"/>
  <c r="J84" i="6" s="1"/>
  <c r="A85" i="6"/>
  <c r="C83" i="6"/>
  <c r="D83" i="6" s="1"/>
  <c r="E83" i="6"/>
  <c r="F83" i="6" s="1"/>
  <c r="G82" i="6"/>
  <c r="G83" i="6" l="1"/>
  <c r="E84" i="6"/>
  <c r="F84" i="6" s="1"/>
  <c r="C84" i="6"/>
  <c r="D84" i="6" s="1"/>
  <c r="I85" i="6"/>
  <c r="J85" i="6" s="1"/>
  <c r="A86" i="6"/>
  <c r="G84" i="6" l="1"/>
  <c r="C85" i="6"/>
  <c r="D85" i="6" s="1"/>
  <c r="E85" i="6"/>
  <c r="F85" i="6" s="1"/>
  <c r="A87" i="6"/>
  <c r="I86" i="6"/>
  <c r="J86" i="6" s="1"/>
  <c r="A88" i="6" l="1"/>
  <c r="I87" i="6"/>
  <c r="J87" i="6" s="1"/>
  <c r="C86" i="6"/>
  <c r="D86" i="6" s="1"/>
  <c r="E86" i="6"/>
  <c r="F86" i="6" s="1"/>
  <c r="G85" i="6"/>
  <c r="G86" i="6" l="1"/>
  <c r="I88" i="6"/>
  <c r="J88" i="6" s="1"/>
  <c r="A89" i="6"/>
  <c r="C87" i="6"/>
  <c r="D87" i="6" s="1"/>
  <c r="E87" i="6"/>
  <c r="F87" i="6" s="1"/>
  <c r="G87" i="6" l="1"/>
  <c r="A90" i="6"/>
  <c r="I89" i="6"/>
  <c r="J89" i="6" s="1"/>
  <c r="C88" i="6"/>
  <c r="D88" i="6" s="1"/>
  <c r="E88" i="6"/>
  <c r="F88" i="6" s="1"/>
  <c r="G88" i="6" l="1"/>
  <c r="C89" i="6"/>
  <c r="D89" i="6" s="1"/>
  <c r="E89" i="6"/>
  <c r="F89" i="6" s="1"/>
  <c r="A91" i="6"/>
  <c r="I90" i="6"/>
  <c r="J90" i="6" s="1"/>
  <c r="G89" i="6" l="1"/>
  <c r="C90" i="6"/>
  <c r="D90" i="6" s="1"/>
  <c r="E90" i="6"/>
  <c r="F90" i="6" s="1"/>
  <c r="I91" i="6"/>
  <c r="J91" i="6" s="1"/>
  <c r="A92" i="6"/>
  <c r="E91" i="6" l="1"/>
  <c r="F91" i="6" s="1"/>
  <c r="C91" i="6"/>
  <c r="D91" i="6" s="1"/>
  <c r="I92" i="6"/>
  <c r="J92" i="6" s="1"/>
  <c r="A93" i="6"/>
  <c r="G90" i="6"/>
  <c r="G91" i="6" l="1"/>
  <c r="I93" i="6"/>
  <c r="J93" i="6" s="1"/>
  <c r="A94" i="6"/>
  <c r="C92" i="6"/>
  <c r="D92" i="6" s="1"/>
  <c r="E92" i="6"/>
  <c r="F92" i="6" s="1"/>
  <c r="G92" i="6" l="1"/>
  <c r="E93" i="6"/>
  <c r="F93" i="6" s="1"/>
  <c r="C93" i="6"/>
  <c r="D93" i="6" s="1"/>
  <c r="A95" i="6"/>
  <c r="I94" i="6"/>
  <c r="J94" i="6" s="1"/>
  <c r="G93" i="6" l="1"/>
  <c r="C94" i="6"/>
  <c r="D94" i="6" s="1"/>
  <c r="E94" i="6"/>
  <c r="F94" i="6" s="1"/>
  <c r="I95" i="6"/>
  <c r="J95" i="6" s="1"/>
  <c r="C95" i="6" l="1"/>
  <c r="D95" i="6" s="1"/>
  <c r="E95" i="6"/>
  <c r="F95" i="6" s="1"/>
  <c r="G94" i="6"/>
  <c r="G95" i="6" l="1"/>
  <c r="E27" i="3"/>
  <c r="D28" i="3"/>
  <c r="D29" i="3"/>
  <c r="D30" i="3" s="1"/>
  <c r="F26" i="3" l="1"/>
  <c r="F27" i="3" s="1"/>
  <c r="G26" i="3" s="1"/>
  <c r="E29" i="3"/>
  <c r="E30" i="3" s="1"/>
  <c r="E28" i="3"/>
  <c r="F28" i="3" l="1"/>
  <c r="F29" i="3" l="1"/>
  <c r="F30" i="3" s="1"/>
  <c r="G27" i="3"/>
  <c r="H26" i="3" s="1"/>
  <c r="G28" i="3" l="1"/>
  <c r="H27" i="3" l="1"/>
  <c r="I26" i="3" s="1"/>
  <c r="G29" i="3"/>
  <c r="G30" i="3" s="1"/>
  <c r="H29" i="3" l="1"/>
  <c r="H30" i="3" s="1"/>
  <c r="H28" i="3"/>
  <c r="I27" i="3" l="1"/>
  <c r="I29" i="3" l="1"/>
  <c r="I30" i="3" s="1"/>
  <c r="J26" i="3"/>
  <c r="I28" i="3"/>
  <c r="J27" i="3" l="1"/>
  <c r="K26" i="3" s="1"/>
  <c r="J28" i="3" l="1"/>
  <c r="K27" i="3"/>
  <c r="L26" i="3" s="1"/>
  <c r="J29" i="3"/>
  <c r="J30" i="3" s="1"/>
  <c r="K29" i="3" l="1"/>
  <c r="K30" i="3" s="1"/>
  <c r="L27" i="3"/>
  <c r="K28" i="3"/>
  <c r="L28" i="3" l="1"/>
  <c r="H21" i="3" s="1"/>
  <c r="M6" i="3"/>
  <c r="L10" i="3" s="1"/>
  <c r="L29" i="3"/>
  <c r="L30" i="3" s="1"/>
  <c r="M7" i="3" l="1"/>
  <c r="L9" i="3" s="1"/>
</calcChain>
</file>

<file path=xl/sharedStrings.xml><?xml version="1.0" encoding="utf-8"?>
<sst xmlns="http://schemas.openxmlformats.org/spreadsheetml/2006/main" count="1077" uniqueCount="521">
  <si>
    <t>Es wird keine Haftung im Zusammenhang mit der Anwendung der Berechnungsblätter übernommen</t>
  </si>
  <si>
    <t>Kontakt: Prof. Dr. Michael Pfister, michael.pfister@hefr.ch</t>
  </si>
  <si>
    <t>Berechnungsblätter in Anlehnung an die technische Dokumentation SIA D 0264 Hydraulik zur Norm SIA190:2017</t>
  </si>
  <si>
    <t>Kreisquerschnitt, Normalabfluss, Ansatz Strickler und Vereinfachungen Hager</t>
  </si>
  <si>
    <t>Kreisquerschnitt, Normalabfluss, Ansatz Colebrook-White/Darcy-Weisbach/Franke (und Vergleich mit Strickler)</t>
  </si>
  <si>
    <t>Colebrook-White, Darcy-Weisbach (Normalabfluss, Gl. 29)</t>
  </si>
  <si>
    <r>
      <t>Q</t>
    </r>
    <r>
      <rPr>
        <i/>
        <vertAlign val="subscript"/>
        <sz val="11"/>
        <color theme="1"/>
        <rFont val="Arial"/>
        <family val="2"/>
      </rPr>
      <t>M</t>
    </r>
  </si>
  <si>
    <r>
      <t>m</t>
    </r>
    <r>
      <rPr>
        <vertAlign val="superscript"/>
        <sz val="11"/>
        <color theme="1"/>
        <rFont val="Arial"/>
        <family val="2"/>
      </rPr>
      <t>3</t>
    </r>
    <r>
      <rPr>
        <sz val="11"/>
        <color theme="1"/>
        <rFont val="Arial"/>
        <family val="2"/>
      </rPr>
      <t>/s</t>
    </r>
  </si>
  <si>
    <t>Colebrook-White, Darcy-Weisbach, Franke (Normalabfluss)</t>
  </si>
  <si>
    <r>
      <t>Q</t>
    </r>
    <r>
      <rPr>
        <i/>
        <vertAlign val="subscript"/>
        <sz val="11"/>
        <color theme="1"/>
        <rFont val="Arial"/>
        <family val="2"/>
      </rPr>
      <t>m</t>
    </r>
  </si>
  <si>
    <t>Radius</t>
  </si>
  <si>
    <t>m</t>
  </si>
  <si>
    <r>
      <t>k</t>
    </r>
    <r>
      <rPr>
        <i/>
        <vertAlign val="subscript"/>
        <sz val="11"/>
        <color theme="1"/>
        <rFont val="Arial"/>
        <family val="2"/>
      </rPr>
      <t>b</t>
    </r>
  </si>
  <si>
    <t>m (Gl. 31)</t>
  </si>
  <si>
    <r>
      <t>K</t>
    </r>
    <r>
      <rPr>
        <i/>
        <vertAlign val="subscript"/>
        <sz val="11"/>
        <color theme="1"/>
        <rFont val="Arial"/>
        <family val="2"/>
      </rPr>
      <t>S</t>
    </r>
  </si>
  <si>
    <r>
      <t>m</t>
    </r>
    <r>
      <rPr>
        <vertAlign val="superscript"/>
        <sz val="11"/>
        <color theme="1"/>
        <rFont val="Arial"/>
        <family val="2"/>
      </rPr>
      <t>1/3</t>
    </r>
    <r>
      <rPr>
        <sz val="11"/>
        <color theme="1"/>
        <rFont val="Arial"/>
        <family val="2"/>
      </rPr>
      <t>/s</t>
    </r>
  </si>
  <si>
    <t>Durchmesser</t>
  </si>
  <si>
    <t>ν</t>
  </si>
  <si>
    <r>
      <t>m</t>
    </r>
    <r>
      <rPr>
        <vertAlign val="super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>/s (Gl. 8, 10°C)</t>
    </r>
  </si>
  <si>
    <r>
      <t>J</t>
    </r>
    <r>
      <rPr>
        <i/>
        <vertAlign val="subscript"/>
        <sz val="11"/>
        <color theme="1"/>
        <rFont val="Arial"/>
        <family val="2"/>
      </rPr>
      <t>S</t>
    </r>
  </si>
  <si>
    <t xml:space="preserve"> -</t>
  </si>
  <si>
    <t>Rohrfläche bei Vollfüllung</t>
  </si>
  <si>
    <r>
      <t>m</t>
    </r>
    <r>
      <rPr>
        <vertAlign val="superscript"/>
        <sz val="11"/>
        <color theme="1"/>
        <rFont val="Arial"/>
        <family val="2"/>
      </rPr>
      <t>2</t>
    </r>
  </si>
  <si>
    <t>Gl.</t>
  </si>
  <si>
    <r>
      <rPr>
        <b/>
        <i/>
        <sz val="11"/>
        <color rgb="FFFF0000"/>
        <rFont val="Arial"/>
        <family val="2"/>
      </rPr>
      <t>M</t>
    </r>
    <r>
      <rPr>
        <b/>
        <sz val="11"/>
        <color rgb="FFFF0000"/>
        <rFont val="Arial"/>
        <family val="2"/>
      </rPr>
      <t xml:space="preserve"> maximaler Abfluss</t>
    </r>
  </si>
  <si>
    <r>
      <rPr>
        <b/>
        <i/>
        <sz val="11"/>
        <color rgb="FFFF0000"/>
        <rFont val="Arial"/>
        <family val="2"/>
      </rPr>
      <t>m</t>
    </r>
    <r>
      <rPr>
        <b/>
        <sz val="11"/>
        <color rgb="FFFF0000"/>
        <rFont val="Arial"/>
        <family val="2"/>
      </rPr>
      <t xml:space="preserve"> minimaler Abfluss</t>
    </r>
  </si>
  <si>
    <t>Kreisumfang bei Vollfüllung</t>
  </si>
  <si>
    <r>
      <t xml:space="preserve">soll grösser als </t>
    </r>
    <r>
      <rPr>
        <i/>
        <sz val="11"/>
        <color theme="1"/>
        <rFont val="Arial"/>
        <family val="2"/>
      </rPr>
      <t>K</t>
    </r>
    <r>
      <rPr>
        <i/>
        <vertAlign val="subscript"/>
        <sz val="11"/>
        <color theme="1"/>
        <rFont val="Arial"/>
        <family val="2"/>
      </rPr>
      <t>S</t>
    </r>
    <r>
      <rPr>
        <sz val="11"/>
        <color theme="1"/>
        <rFont val="Arial"/>
        <family val="2"/>
      </rPr>
      <t xml:space="preserve"> sein</t>
    </r>
  </si>
  <si>
    <t>31b</t>
  </si>
  <si>
    <r>
      <t>d</t>
    </r>
    <r>
      <rPr>
        <i/>
        <vertAlign val="subscript"/>
        <sz val="11"/>
        <color theme="1"/>
        <rFont val="Arial"/>
        <family val="2"/>
      </rPr>
      <t>iV</t>
    </r>
  </si>
  <si>
    <r>
      <t>A</t>
    </r>
    <r>
      <rPr>
        <i/>
        <vertAlign val="subscript"/>
        <sz val="11"/>
        <color theme="1"/>
        <rFont val="Arial"/>
        <family val="2"/>
      </rPr>
      <t>V</t>
    </r>
  </si>
  <si>
    <r>
      <t>d</t>
    </r>
    <r>
      <rPr>
        <b/>
        <i/>
        <vertAlign val="subscript"/>
        <sz val="11"/>
        <color theme="1"/>
        <rFont val="Arial"/>
        <family val="2"/>
      </rPr>
      <t>i</t>
    </r>
  </si>
  <si>
    <r>
      <rPr>
        <sz val="11"/>
        <color theme="1"/>
        <rFont val="Arial"/>
        <family val="2"/>
      </rPr>
      <t>0.5</t>
    </r>
    <r>
      <rPr>
        <i/>
        <sz val="11"/>
        <color theme="1"/>
        <rFont val="Arial"/>
        <family val="2"/>
      </rPr>
      <t>β</t>
    </r>
  </si>
  <si>
    <t>β</t>
  </si>
  <si>
    <r>
      <t>sin(0.5</t>
    </r>
    <r>
      <rPr>
        <i/>
        <sz val="11"/>
        <color theme="1"/>
        <rFont val="Arial"/>
        <family val="2"/>
      </rPr>
      <t>β</t>
    </r>
    <r>
      <rPr>
        <sz val="11"/>
        <color theme="1"/>
        <rFont val="Arial"/>
        <family val="2"/>
      </rPr>
      <t>)</t>
    </r>
  </si>
  <si>
    <r>
      <t>sin(</t>
    </r>
    <r>
      <rPr>
        <i/>
        <sz val="11"/>
        <color theme="1"/>
        <rFont val="Arial"/>
        <family val="2"/>
      </rPr>
      <t>β</t>
    </r>
    <r>
      <rPr>
        <sz val="11"/>
        <color theme="1"/>
        <rFont val="Arial"/>
        <family val="2"/>
      </rPr>
      <t>)</t>
    </r>
  </si>
  <si>
    <r>
      <t>cos(0.5</t>
    </r>
    <r>
      <rPr>
        <i/>
        <sz val="11"/>
        <color theme="1"/>
        <rFont val="Arial"/>
        <family val="2"/>
      </rPr>
      <t>β</t>
    </r>
    <r>
      <rPr>
        <sz val="11"/>
        <color theme="1"/>
        <rFont val="Arial"/>
        <family val="2"/>
      </rPr>
      <t>)</t>
    </r>
  </si>
  <si>
    <t>b</t>
  </si>
  <si>
    <t>A</t>
  </si>
  <si>
    <t>y</t>
  </si>
  <si>
    <t>P</t>
  </si>
  <si>
    <r>
      <rPr>
        <i/>
        <sz val="11"/>
        <color theme="1"/>
        <rFont val="Arial"/>
        <family val="2"/>
      </rPr>
      <t>z</t>
    </r>
    <r>
      <rPr>
        <sz val="11"/>
        <color theme="1"/>
        <rFont val="Arial"/>
        <family val="2"/>
      </rPr>
      <t>=</t>
    </r>
    <r>
      <rPr>
        <i/>
        <sz val="11"/>
        <color theme="1"/>
        <rFont val="Arial"/>
        <family val="2"/>
      </rPr>
      <t>y</t>
    </r>
    <r>
      <rPr>
        <sz val="11"/>
        <color theme="1"/>
        <rFont val="Arial"/>
        <family val="2"/>
      </rPr>
      <t>/</t>
    </r>
    <r>
      <rPr>
        <i/>
        <sz val="11"/>
        <color theme="1"/>
        <rFont val="Arial"/>
        <family val="2"/>
      </rPr>
      <t>di</t>
    </r>
  </si>
  <si>
    <t>R</t>
  </si>
  <si>
    <r>
      <rPr>
        <i/>
        <sz val="11"/>
        <color theme="1"/>
        <rFont val="Arial"/>
        <family val="2"/>
      </rPr>
      <t>Q</t>
    </r>
    <r>
      <rPr>
        <sz val="11"/>
        <color theme="1"/>
        <rFont val="Arial"/>
        <family val="2"/>
      </rPr>
      <t>/</t>
    </r>
    <r>
      <rPr>
        <i/>
        <sz val="11"/>
        <color theme="1"/>
        <rFont val="Arial"/>
        <family val="2"/>
      </rPr>
      <t>Q</t>
    </r>
    <r>
      <rPr>
        <i/>
        <vertAlign val="subscript"/>
        <sz val="11"/>
        <color theme="1"/>
        <rFont val="Arial"/>
        <family val="2"/>
      </rPr>
      <t>V</t>
    </r>
  </si>
  <si>
    <r>
      <rPr>
        <i/>
        <sz val="11"/>
        <color theme="1"/>
        <rFont val="Arial"/>
        <family val="2"/>
      </rPr>
      <t>V</t>
    </r>
    <r>
      <rPr>
        <sz val="11"/>
        <color theme="1"/>
        <rFont val="Arial"/>
        <family val="2"/>
      </rPr>
      <t>/</t>
    </r>
    <r>
      <rPr>
        <i/>
        <sz val="11"/>
        <color theme="1"/>
        <rFont val="Arial"/>
        <family val="2"/>
      </rPr>
      <t>V</t>
    </r>
    <r>
      <rPr>
        <i/>
        <vertAlign val="subscript"/>
        <sz val="11"/>
        <color theme="1"/>
        <rFont val="Arial"/>
        <family val="2"/>
      </rPr>
      <t>V</t>
    </r>
  </si>
  <si>
    <r>
      <t>Q</t>
    </r>
    <r>
      <rPr>
        <sz val="11"/>
        <color theme="1"/>
        <rFont val="Arial"/>
        <family val="2"/>
      </rPr>
      <t xml:space="preserve"> S</t>
    </r>
  </si>
  <si>
    <r>
      <t>Q</t>
    </r>
    <r>
      <rPr>
        <sz val="11"/>
        <color theme="1"/>
        <rFont val="Arial"/>
        <family val="2"/>
      </rPr>
      <t xml:space="preserve"> D-W</t>
    </r>
  </si>
  <si>
    <t>F</t>
  </si>
  <si>
    <t>[°]</t>
  </si>
  <si>
    <t>[rad]</t>
  </si>
  <si>
    <t>[-]</t>
  </si>
  <si>
    <t>[m]</t>
  </si>
  <si>
    <r>
      <t>[m</t>
    </r>
    <r>
      <rPr>
        <vertAlign val="super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>]</t>
    </r>
  </si>
  <si>
    <r>
      <t>[m</t>
    </r>
    <r>
      <rPr>
        <vertAlign val="superscript"/>
        <sz val="11"/>
        <color theme="1"/>
        <rFont val="Arial"/>
        <family val="2"/>
      </rPr>
      <t>3</t>
    </r>
    <r>
      <rPr>
        <sz val="11"/>
        <color theme="1"/>
        <rFont val="Arial"/>
        <family val="2"/>
      </rPr>
      <t>/s]</t>
    </r>
  </si>
  <si>
    <r>
      <t>Q</t>
    </r>
    <r>
      <rPr>
        <i/>
        <vertAlign val="subscript"/>
        <sz val="11"/>
        <color theme="1"/>
        <rFont val="Arial"/>
        <family val="2"/>
      </rPr>
      <t>V</t>
    </r>
  </si>
  <si>
    <t>normierter Abfluss</t>
  </si>
  <si>
    <r>
      <t>q</t>
    </r>
    <r>
      <rPr>
        <i/>
        <vertAlign val="subscript"/>
        <sz val="11"/>
        <color theme="1"/>
        <rFont val="Arial"/>
        <family val="2"/>
      </rPr>
      <t>M</t>
    </r>
  </si>
  <si>
    <r>
      <t>q</t>
    </r>
    <r>
      <rPr>
        <i/>
        <vertAlign val="subscript"/>
        <sz val="11"/>
        <color theme="1"/>
        <rFont val="Arial"/>
        <family val="2"/>
      </rPr>
      <t>m</t>
    </r>
  </si>
  <si>
    <t>Teilfüllungsverhältnis</t>
  </si>
  <si>
    <r>
      <t>z</t>
    </r>
    <r>
      <rPr>
        <b/>
        <i/>
        <vertAlign val="subscript"/>
        <sz val="11"/>
        <color theme="1"/>
        <rFont val="Arial"/>
        <family val="2"/>
      </rPr>
      <t>M</t>
    </r>
  </si>
  <si>
    <r>
      <t>z</t>
    </r>
    <r>
      <rPr>
        <i/>
        <vertAlign val="subscript"/>
        <sz val="11"/>
        <color theme="1"/>
        <rFont val="Arial"/>
        <family val="2"/>
      </rPr>
      <t>m</t>
    </r>
  </si>
  <si>
    <t>Tab</t>
  </si>
  <si>
    <t>Normalabflusstiefe</t>
  </si>
  <si>
    <r>
      <t>y</t>
    </r>
    <r>
      <rPr>
        <i/>
        <vertAlign val="subscript"/>
        <sz val="11"/>
        <color theme="1"/>
        <rFont val="Arial"/>
        <family val="2"/>
      </rPr>
      <t>nM</t>
    </r>
  </si>
  <si>
    <r>
      <t>y</t>
    </r>
    <r>
      <rPr>
        <i/>
        <vertAlign val="subscript"/>
        <sz val="11"/>
        <color theme="1"/>
        <rFont val="Arial"/>
        <family val="2"/>
      </rPr>
      <t>nm</t>
    </r>
  </si>
  <si>
    <t>benetzte Fläche</t>
  </si>
  <si>
    <r>
      <t>A</t>
    </r>
    <r>
      <rPr>
        <i/>
        <vertAlign val="subscript"/>
        <sz val="11"/>
        <color theme="1"/>
        <rFont val="Arial"/>
        <family val="2"/>
      </rPr>
      <t>M</t>
    </r>
  </si>
  <si>
    <r>
      <t>A</t>
    </r>
    <r>
      <rPr>
        <i/>
        <vertAlign val="subscript"/>
        <sz val="11"/>
        <color theme="1"/>
        <rFont val="Arial"/>
        <family val="2"/>
      </rPr>
      <t>m</t>
    </r>
  </si>
  <si>
    <r>
      <t>V</t>
    </r>
    <r>
      <rPr>
        <i/>
        <vertAlign val="subscript"/>
        <sz val="11"/>
        <color theme="1"/>
        <rFont val="Arial"/>
        <family val="2"/>
      </rPr>
      <t>M</t>
    </r>
  </si>
  <si>
    <t>m/s</t>
  </si>
  <si>
    <r>
      <t>V</t>
    </r>
    <r>
      <rPr>
        <b/>
        <i/>
        <vertAlign val="subscript"/>
        <sz val="11"/>
        <color theme="1"/>
        <rFont val="Arial"/>
        <family val="2"/>
      </rPr>
      <t>m</t>
    </r>
  </si>
  <si>
    <t>hydraulischer Radius</t>
  </si>
  <si>
    <r>
      <t>R</t>
    </r>
    <r>
      <rPr>
        <i/>
        <vertAlign val="subscript"/>
        <sz val="11"/>
        <color theme="1"/>
        <rFont val="Arial"/>
        <family val="2"/>
      </rPr>
      <t>M</t>
    </r>
  </si>
  <si>
    <r>
      <t>R</t>
    </r>
    <r>
      <rPr>
        <i/>
        <vertAlign val="subscript"/>
        <sz val="11"/>
        <color theme="1"/>
        <rFont val="Arial"/>
        <family val="2"/>
      </rPr>
      <t>m</t>
    </r>
  </si>
  <si>
    <r>
      <t>R</t>
    </r>
    <r>
      <rPr>
        <i/>
        <vertAlign val="subscript"/>
        <sz val="11"/>
        <color theme="1"/>
        <rFont val="Arial"/>
        <family val="2"/>
      </rPr>
      <t>h</t>
    </r>
  </si>
  <si>
    <r>
      <t>Fr</t>
    </r>
    <r>
      <rPr>
        <b/>
        <i/>
        <vertAlign val="subscript"/>
        <sz val="11"/>
        <color theme="1"/>
        <rFont val="Arial"/>
        <family val="2"/>
      </rPr>
      <t>M</t>
    </r>
  </si>
  <si>
    <r>
      <t>C</t>
    </r>
    <r>
      <rPr>
        <b/>
        <i/>
        <vertAlign val="subscript"/>
        <sz val="11"/>
        <color theme="1"/>
        <rFont val="Arial"/>
        <family val="2"/>
      </rPr>
      <t>NM</t>
    </r>
  </si>
  <si>
    <t>48/49</t>
  </si>
  <si>
    <r>
      <t xml:space="preserve">Belüftungskoeffizient, Lufteintrag wenn </t>
    </r>
    <r>
      <rPr>
        <i/>
        <sz val="11"/>
        <color theme="1"/>
        <rFont val="Arial"/>
        <family val="2"/>
      </rPr>
      <t>χ</t>
    </r>
    <r>
      <rPr>
        <i/>
        <vertAlign val="subscript"/>
        <sz val="11"/>
        <color theme="1"/>
        <rFont val="Arial"/>
        <family val="2"/>
      </rPr>
      <t>M</t>
    </r>
    <r>
      <rPr>
        <sz val="11"/>
        <color theme="1"/>
        <rFont val="Arial"/>
        <family val="2"/>
      </rPr>
      <t>&gt;8</t>
    </r>
  </si>
  <si>
    <r>
      <t>χ</t>
    </r>
    <r>
      <rPr>
        <i/>
        <vertAlign val="subscript"/>
        <sz val="11"/>
        <color theme="1"/>
        <rFont val="Arial"/>
        <family val="2"/>
      </rPr>
      <t>M</t>
    </r>
  </si>
  <si>
    <r>
      <t>y</t>
    </r>
    <r>
      <rPr>
        <i/>
        <vertAlign val="subscript"/>
        <sz val="11"/>
        <color theme="1"/>
        <rFont val="Arial"/>
        <family val="2"/>
      </rPr>
      <t>G</t>
    </r>
  </si>
  <si>
    <r>
      <rPr>
        <b/>
        <i/>
        <sz val="11"/>
        <color theme="1"/>
        <rFont val="Arial"/>
        <family val="2"/>
      </rPr>
      <t>z</t>
    </r>
    <r>
      <rPr>
        <b/>
        <i/>
        <vertAlign val="subscript"/>
        <sz val="11"/>
        <color theme="1"/>
        <rFont val="Arial"/>
        <family val="2"/>
      </rPr>
      <t>G</t>
    </r>
  </si>
  <si>
    <t>Boussinesqzahl</t>
  </si>
  <si>
    <r>
      <t>B</t>
    </r>
    <r>
      <rPr>
        <i/>
        <vertAlign val="subscript"/>
        <sz val="11"/>
        <color theme="1"/>
        <rFont val="Arial"/>
        <family val="2"/>
      </rPr>
      <t>M</t>
    </r>
  </si>
  <si>
    <t>mittlere Luftkonzentration</t>
  </si>
  <si>
    <t>C</t>
  </si>
  <si>
    <t>mittlere Abflussgeschwindigkeit Gemisch</t>
  </si>
  <si>
    <r>
      <t>V</t>
    </r>
    <r>
      <rPr>
        <i/>
        <vertAlign val="subscript"/>
        <sz val="11"/>
        <color theme="1"/>
        <rFont val="Arial"/>
        <family val="2"/>
      </rPr>
      <t>G</t>
    </r>
  </si>
  <si>
    <t>Schleppspannung an der Sohle</t>
  </si>
  <si>
    <r>
      <t>τ</t>
    </r>
    <r>
      <rPr>
        <i/>
        <vertAlign val="subscript"/>
        <sz val="11"/>
        <color theme="1"/>
        <rFont val="Arial"/>
        <family val="2"/>
      </rPr>
      <t>M</t>
    </r>
  </si>
  <si>
    <r>
      <t>N/m</t>
    </r>
    <r>
      <rPr>
        <vertAlign val="superscript"/>
        <sz val="11"/>
        <color theme="1"/>
        <rFont val="Arial"/>
        <family val="2"/>
      </rPr>
      <t>2</t>
    </r>
  </si>
  <si>
    <r>
      <t>τ</t>
    </r>
    <r>
      <rPr>
        <i/>
        <vertAlign val="subscript"/>
        <sz val="11"/>
        <color theme="1"/>
        <rFont val="Arial"/>
        <family val="2"/>
      </rPr>
      <t>m</t>
    </r>
  </si>
  <si>
    <t>minimale Schleppsp. Regen- und Mischwasser</t>
  </si>
  <si>
    <t>τ</t>
  </si>
  <si>
    <t>minimale Schleppsp. Schmutzwasser</t>
  </si>
  <si>
    <t>Kapazitätszahl</t>
  </si>
  <si>
    <r>
      <rPr>
        <i/>
        <sz val="11"/>
        <color theme="1"/>
        <rFont val="Arial"/>
        <family val="2"/>
      </rPr>
      <t>F</t>
    </r>
    <r>
      <rPr>
        <i/>
        <vertAlign val="subscript"/>
        <sz val="11"/>
        <color theme="1"/>
        <rFont val="Arial"/>
        <family val="2"/>
      </rPr>
      <t>C</t>
    </r>
  </si>
  <si>
    <t>Parameter</t>
  </si>
  <si>
    <t>Wert</t>
  </si>
  <si>
    <t>Einheit</t>
  </si>
  <si>
    <t>Limiten</t>
  </si>
  <si>
    <t>θ</t>
  </si>
  <si>
    <t>°</t>
  </si>
  <si>
    <t>35° … 100°</t>
  </si>
  <si>
    <r>
      <t>d</t>
    </r>
    <r>
      <rPr>
        <i/>
        <vertAlign val="subscript"/>
        <sz val="11"/>
        <color theme="1"/>
        <rFont val="Arial"/>
        <family val="2"/>
      </rPr>
      <t>iU</t>
    </r>
  </si>
  <si>
    <t>O</t>
  </si>
  <si>
    <t>L</t>
  </si>
  <si>
    <r>
      <t>d</t>
    </r>
    <r>
      <rPr>
        <i/>
        <vertAlign val="subscript"/>
        <sz val="11"/>
        <color theme="1"/>
        <rFont val="Arial"/>
        <family val="2"/>
      </rPr>
      <t>i</t>
    </r>
  </si>
  <si>
    <t>z</t>
  </si>
  <si>
    <t>-</t>
  </si>
  <si>
    <t>0.2 … 0.9</t>
  </si>
  <si>
    <t>Fr</t>
  </si>
  <si>
    <t>1.5 … 9.6</t>
  </si>
  <si>
    <t>0.5 … 1.0</t>
  </si>
  <si>
    <t>Fr z β</t>
  </si>
  <si>
    <t>0.39…3</t>
  </si>
  <si>
    <t>0.4…1.25</t>
  </si>
  <si>
    <t>sinθ</t>
  </si>
  <si>
    <t>max 45°</t>
  </si>
  <si>
    <t>cosθ</t>
  </si>
  <si>
    <r>
      <t>F</t>
    </r>
    <r>
      <rPr>
        <i/>
        <vertAlign val="subscript"/>
        <sz val="11"/>
        <color theme="1"/>
        <rFont val="Arial"/>
        <family val="2"/>
      </rPr>
      <t>U</t>
    </r>
  </si>
  <si>
    <r>
      <t>F</t>
    </r>
    <r>
      <rPr>
        <i/>
        <vertAlign val="subscript"/>
        <sz val="11"/>
        <color theme="1"/>
        <rFont val="Arial"/>
        <family val="2"/>
      </rPr>
      <t>CU</t>
    </r>
  </si>
  <si>
    <r>
      <t>z</t>
    </r>
    <r>
      <rPr>
        <i/>
        <vertAlign val="subscript"/>
        <sz val="11"/>
        <color theme="1"/>
        <rFont val="Arial"/>
        <family val="2"/>
      </rPr>
      <t>U</t>
    </r>
  </si>
  <si>
    <r>
      <t>y</t>
    </r>
    <r>
      <rPr>
        <i/>
        <vertAlign val="subscript"/>
        <sz val="11"/>
        <color theme="1"/>
        <rFont val="Arial"/>
        <family val="2"/>
      </rPr>
      <t>U</t>
    </r>
  </si>
  <si>
    <t>K</t>
  </si>
  <si>
    <t>n</t>
  </si>
  <si>
    <t>0.6 ... 0.8</t>
  </si>
  <si>
    <t>3 ... 6</t>
  </si>
  <si>
    <t>0.1 … 0.4</t>
  </si>
  <si>
    <t>&gt; 0.05 m</t>
  </si>
  <si>
    <t>&lt; 0.6</t>
  </si>
  <si>
    <t>&lt; 0.75</t>
  </si>
  <si>
    <t>Trennschärfe Drossel</t>
  </si>
  <si>
    <t>&lt;1.2</t>
  </si>
  <si>
    <t>Iteration</t>
  </si>
  <si>
    <r>
      <t>w</t>
    </r>
    <r>
      <rPr>
        <i/>
        <vertAlign val="subscript"/>
        <sz val="11"/>
        <color theme="1"/>
        <rFont val="Arial"/>
        <family val="2"/>
      </rPr>
      <t>O</t>
    </r>
  </si>
  <si>
    <r>
      <t>w</t>
    </r>
    <r>
      <rPr>
        <i/>
        <vertAlign val="subscript"/>
        <sz val="11"/>
        <color theme="1"/>
        <rFont val="Arial"/>
        <family val="2"/>
      </rPr>
      <t>U</t>
    </r>
  </si>
  <si>
    <r>
      <t>J</t>
    </r>
    <r>
      <rPr>
        <i/>
        <vertAlign val="subscript"/>
        <sz val="11"/>
        <color theme="1"/>
        <rFont val="Arial"/>
        <family val="2"/>
      </rPr>
      <t>SO</t>
    </r>
  </si>
  <si>
    <r>
      <t>w</t>
    </r>
    <r>
      <rPr>
        <i/>
        <vertAlign val="subscript"/>
        <sz val="11"/>
        <color theme="1"/>
        <rFont val="Arial"/>
        <family val="2"/>
      </rPr>
      <t>m</t>
    </r>
  </si>
  <si>
    <r>
      <t>m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>/s</t>
    </r>
  </si>
  <si>
    <r>
      <t>c</t>
    </r>
    <r>
      <rPr>
        <i/>
        <vertAlign val="subscript"/>
        <sz val="11"/>
        <color theme="1"/>
        <rFont val="Arial"/>
        <family val="2"/>
      </rPr>
      <t>w</t>
    </r>
  </si>
  <si>
    <r>
      <t>&lt; 0.3 m</t>
    </r>
    <r>
      <rPr>
        <vertAlign val="super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>/s</t>
    </r>
  </si>
  <si>
    <r>
      <rPr>
        <i/>
        <sz val="11"/>
        <color theme="1"/>
        <rFont val="Arial"/>
        <family val="2"/>
      </rPr>
      <t>L</t>
    </r>
    <r>
      <rPr>
        <sz val="11"/>
        <color theme="1"/>
        <rFont val="Arial"/>
        <family val="2"/>
      </rPr>
      <t>/</t>
    </r>
    <r>
      <rPr>
        <i/>
        <sz val="11"/>
        <color theme="1"/>
        <rFont val="Arial"/>
        <family val="2"/>
      </rPr>
      <t>D</t>
    </r>
  </si>
  <si>
    <r>
      <rPr>
        <i/>
        <sz val="11"/>
        <color theme="1"/>
        <rFont val="Arial"/>
        <family val="2"/>
      </rPr>
      <t>q</t>
    </r>
    <r>
      <rPr>
        <i/>
        <vertAlign val="subscript"/>
        <sz val="11"/>
        <color theme="1"/>
        <rFont val="Arial"/>
        <family val="2"/>
      </rPr>
      <t>u</t>
    </r>
  </si>
  <si>
    <r>
      <t>h</t>
    </r>
    <r>
      <rPr>
        <i/>
        <vertAlign val="subscript"/>
        <sz val="11"/>
        <color theme="1"/>
        <rFont val="Arial"/>
        <family val="2"/>
      </rPr>
      <t>o</t>
    </r>
  </si>
  <si>
    <r>
      <t>A</t>
    </r>
    <r>
      <rPr>
        <i/>
        <vertAlign val="subscript"/>
        <sz val="11"/>
        <color theme="1"/>
        <rFont val="Arial"/>
        <family val="2"/>
      </rPr>
      <t>D</t>
    </r>
  </si>
  <si>
    <r>
      <t>Q</t>
    </r>
    <r>
      <rPr>
        <i/>
        <vertAlign val="subscript"/>
        <sz val="11"/>
        <color theme="1"/>
        <rFont val="Arial"/>
        <family val="2"/>
      </rPr>
      <t>D</t>
    </r>
  </si>
  <si>
    <r>
      <t>m</t>
    </r>
    <r>
      <rPr>
        <vertAlign val="superscript"/>
        <sz val="11"/>
        <rFont val="Arial"/>
        <family val="2"/>
      </rPr>
      <t>2</t>
    </r>
  </si>
  <si>
    <r>
      <t>Q</t>
    </r>
    <r>
      <rPr>
        <i/>
        <vertAlign val="subscript"/>
        <sz val="11"/>
        <color theme="1"/>
        <rFont val="Arial"/>
        <family val="2"/>
      </rPr>
      <t>E</t>
    </r>
  </si>
  <si>
    <r>
      <rPr>
        <b/>
        <i/>
        <sz val="11"/>
        <color rgb="FFFF0000"/>
        <rFont val="Arial"/>
        <family val="2"/>
      </rPr>
      <t>M</t>
    </r>
    <r>
      <rPr>
        <b/>
        <sz val="11"/>
        <color rgb="FFFF0000"/>
        <rFont val="Arial"/>
        <family val="2"/>
      </rPr>
      <t xml:space="preserve"> MAX</t>
    </r>
  </si>
  <si>
    <r>
      <t>y</t>
    </r>
    <r>
      <rPr>
        <i/>
        <vertAlign val="subscript"/>
        <sz val="11"/>
        <color theme="1"/>
        <rFont val="Arial"/>
        <family val="2"/>
      </rPr>
      <t>M</t>
    </r>
  </si>
  <si>
    <t>gewählt</t>
  </si>
  <si>
    <r>
      <t>h</t>
    </r>
    <r>
      <rPr>
        <i/>
        <vertAlign val="subscript"/>
        <sz val="11"/>
        <color theme="1"/>
        <rFont val="Arial"/>
        <family val="2"/>
      </rPr>
      <t>M</t>
    </r>
  </si>
  <si>
    <r>
      <t>R</t>
    </r>
    <r>
      <rPr>
        <i/>
        <vertAlign val="subscript"/>
        <sz val="11"/>
        <color theme="1"/>
        <rFont val="Arial"/>
        <family val="2"/>
      </rPr>
      <t>hM</t>
    </r>
  </si>
  <si>
    <t>Trennschärfe</t>
  </si>
  <si>
    <r>
      <t>Abflusskapazität bei Vollfüllung (</t>
    </r>
    <r>
      <rPr>
        <i/>
        <sz val="11"/>
        <color theme="1"/>
        <rFont val="Arial"/>
        <family val="2"/>
      </rPr>
      <t>z</t>
    </r>
    <r>
      <rPr>
        <i/>
        <vertAlign val="subscript"/>
        <sz val="11"/>
        <color theme="1"/>
        <rFont val="Arial"/>
        <family val="2"/>
      </rPr>
      <t>M</t>
    </r>
    <r>
      <rPr>
        <sz val="11"/>
        <color theme="1"/>
        <rFont val="Arial"/>
        <family val="2"/>
      </rPr>
      <t>=1 und 0.85)</t>
    </r>
  </si>
  <si>
    <t>hydraulischer Radius bei Vollfüllung</t>
  </si>
  <si>
    <r>
      <t>m</t>
    </r>
    <r>
      <rPr>
        <vertAlign val="superscript"/>
        <sz val="11"/>
        <color theme="1"/>
        <rFont val="Arial"/>
        <family val="2"/>
      </rPr>
      <t/>
    </r>
  </si>
  <si>
    <t>Bereich (3)</t>
  </si>
  <si>
    <t>&gt;?</t>
  </si>
  <si>
    <r>
      <t>0.075Fr</t>
    </r>
    <r>
      <rPr>
        <i/>
        <vertAlign val="subscript"/>
        <sz val="11"/>
        <color theme="1"/>
        <rFont val="Arial"/>
        <family val="2"/>
      </rPr>
      <t>O</t>
    </r>
  </si>
  <si>
    <r>
      <rPr>
        <i/>
        <sz val="11"/>
        <color theme="1"/>
        <rFont val="Arial"/>
        <family val="2"/>
      </rPr>
      <t>Q</t>
    </r>
    <r>
      <rPr>
        <i/>
        <vertAlign val="subscript"/>
        <sz val="11"/>
        <color theme="1"/>
        <rFont val="Arial"/>
        <family val="2"/>
      </rPr>
      <t>CU</t>
    </r>
  </si>
  <si>
    <r>
      <t>&gt;</t>
    </r>
    <r>
      <rPr>
        <i/>
        <sz val="11"/>
        <color theme="1"/>
        <rFont val="Arial"/>
        <family val="2"/>
      </rPr>
      <t>z</t>
    </r>
    <r>
      <rPr>
        <i/>
        <vertAlign val="subscript"/>
        <sz val="11"/>
        <color theme="1"/>
        <rFont val="Arial"/>
        <family val="2"/>
      </rPr>
      <t>L</t>
    </r>
  </si>
  <si>
    <t xml:space="preserve">Hager &amp; Gisonni (2005) </t>
  </si>
  <si>
    <t>M</t>
  </si>
  <si>
    <t>Gl. 37</t>
  </si>
  <si>
    <t>x</t>
  </si>
  <si>
    <t>X</t>
  </si>
  <si>
    <t>Z</t>
  </si>
  <si>
    <t>T</t>
  </si>
  <si>
    <t>t</t>
  </si>
  <si>
    <t>Unt. Traj.</t>
  </si>
  <si>
    <t>Ob. Traj.</t>
  </si>
  <si>
    <t>&gt; 0.5 m</t>
  </si>
  <si>
    <t>&gt; 1.0 m</t>
  </si>
  <si>
    <t>s</t>
  </si>
  <si>
    <t>&lt; 0.6 m</t>
  </si>
  <si>
    <t>&gt; 2 m</t>
  </si>
  <si>
    <t>Breite</t>
  </si>
  <si>
    <t>Offset Luft</t>
  </si>
  <si>
    <r>
      <t>J</t>
    </r>
    <r>
      <rPr>
        <i/>
        <vertAlign val="subscript"/>
        <sz val="11"/>
        <color theme="1"/>
        <rFont val="Arial"/>
        <family val="2"/>
      </rPr>
      <t>o</t>
    </r>
  </si>
  <si>
    <r>
      <t>[m</t>
    </r>
    <r>
      <rPr>
        <vertAlign val="superscript"/>
        <sz val="11"/>
        <color theme="1"/>
        <rFont val="Arial"/>
        <family val="2"/>
      </rPr>
      <t>1/3</t>
    </r>
    <r>
      <rPr>
        <sz val="11"/>
        <color theme="1"/>
        <rFont val="Arial"/>
        <family val="2"/>
      </rPr>
      <t>/s]</t>
    </r>
  </si>
  <si>
    <r>
      <t>z</t>
    </r>
    <r>
      <rPr>
        <i/>
        <vertAlign val="subscript"/>
        <sz val="11"/>
        <color theme="1"/>
        <rFont val="Arial"/>
        <family val="2"/>
      </rPr>
      <t>o</t>
    </r>
  </si>
  <si>
    <r>
      <rPr>
        <sz val="11"/>
        <color theme="1"/>
        <rFont val="Arial"/>
        <family val="2"/>
      </rPr>
      <t>Fr</t>
    </r>
    <r>
      <rPr>
        <i/>
        <vertAlign val="subscript"/>
        <sz val="11"/>
        <color theme="1"/>
        <rFont val="Arial"/>
        <family val="2"/>
      </rPr>
      <t>o</t>
    </r>
  </si>
  <si>
    <r>
      <t>L</t>
    </r>
    <r>
      <rPr>
        <vertAlign val="subscript"/>
        <sz val="11"/>
        <color theme="1"/>
        <rFont val="Arial"/>
        <family val="2"/>
      </rPr>
      <t>a</t>
    </r>
    <r>
      <rPr>
        <sz val="11"/>
        <color theme="1"/>
        <rFont val="Arial"/>
        <family val="2"/>
      </rPr>
      <t>/L</t>
    </r>
    <r>
      <rPr>
        <vertAlign val="subscript"/>
        <sz val="11"/>
        <color theme="1"/>
        <rFont val="Arial"/>
        <family val="2"/>
      </rPr>
      <t>p</t>
    </r>
  </si>
  <si>
    <r>
      <t>L</t>
    </r>
    <r>
      <rPr>
        <i/>
        <vertAlign val="subscript"/>
        <sz val="11"/>
        <color theme="1"/>
        <rFont val="Arial"/>
        <family val="2"/>
      </rPr>
      <t>P</t>
    </r>
  </si>
  <si>
    <r>
      <t>L</t>
    </r>
    <r>
      <rPr>
        <i/>
        <vertAlign val="subscript"/>
        <sz val="11"/>
        <color theme="1"/>
        <rFont val="Arial"/>
        <family val="2"/>
      </rPr>
      <t>A</t>
    </r>
  </si>
  <si>
    <r>
      <t>L</t>
    </r>
    <r>
      <rPr>
        <i/>
        <vertAlign val="subscript"/>
        <sz val="11"/>
        <color theme="1"/>
        <rFont val="Arial"/>
        <family val="2"/>
      </rPr>
      <t>S</t>
    </r>
  </si>
  <si>
    <t>Annahme</t>
  </si>
  <si>
    <t>Abmessungen Schacht</t>
  </si>
  <si>
    <r>
      <t xml:space="preserve">Minimaler Abfluss </t>
    </r>
    <r>
      <rPr>
        <b/>
        <i/>
        <sz val="11"/>
        <color rgb="FFFF0000"/>
        <rFont val="Arial"/>
        <family val="2"/>
      </rPr>
      <t>m</t>
    </r>
  </si>
  <si>
    <r>
      <t xml:space="preserve">Maximaler Abfluss </t>
    </r>
    <r>
      <rPr>
        <b/>
        <i/>
        <sz val="11"/>
        <color rgb="FFFF0000"/>
        <rFont val="Arial"/>
        <family val="2"/>
      </rPr>
      <t>M</t>
    </r>
  </si>
  <si>
    <t>Bereich (4)</t>
  </si>
  <si>
    <t>Bereich (2)</t>
  </si>
  <si>
    <r>
      <t>Q</t>
    </r>
    <r>
      <rPr>
        <i/>
        <vertAlign val="subscript"/>
        <sz val="11"/>
        <rFont val="Arial"/>
        <family val="2"/>
      </rPr>
      <t>M</t>
    </r>
  </si>
  <si>
    <t>45° und 90°</t>
  </si>
  <si>
    <t>Rohrdurchmesser innen</t>
  </si>
  <si>
    <r>
      <t>z</t>
    </r>
    <r>
      <rPr>
        <i/>
        <vertAlign val="subscript"/>
        <sz val="11"/>
        <color theme="1"/>
        <rFont val="Arial"/>
        <family val="2"/>
      </rPr>
      <t>M</t>
    </r>
  </si>
  <si>
    <t>Normierter Abfluss</t>
  </si>
  <si>
    <t>Q*</t>
  </si>
  <si>
    <t>Krümmungsradius axial</t>
  </si>
  <si>
    <r>
      <t>R</t>
    </r>
    <r>
      <rPr>
        <i/>
        <vertAlign val="subscript"/>
        <sz val="11"/>
        <color theme="1"/>
        <rFont val="Arial"/>
        <family val="2"/>
      </rPr>
      <t>a</t>
    </r>
  </si>
  <si>
    <r>
      <rPr>
        <i/>
        <sz val="11"/>
        <color theme="1"/>
        <rFont val="Arial"/>
        <family val="2"/>
      </rPr>
      <t>R</t>
    </r>
    <r>
      <rPr>
        <i/>
        <vertAlign val="subscript"/>
        <sz val="11"/>
        <color theme="1"/>
        <rFont val="Arial"/>
        <family val="2"/>
      </rPr>
      <t>a</t>
    </r>
    <r>
      <rPr>
        <sz val="11"/>
        <color theme="1"/>
        <rFont val="Arial"/>
        <family val="2"/>
      </rPr>
      <t>/</t>
    </r>
    <r>
      <rPr>
        <i/>
        <sz val="11"/>
        <color theme="1"/>
        <rFont val="Arial"/>
        <family val="2"/>
      </rPr>
      <t>D</t>
    </r>
  </si>
  <si>
    <t>zwischen 1 und 3</t>
  </si>
  <si>
    <t>relative Verlängerung</t>
  </si>
  <si>
    <t>zwischen 0 und 2</t>
  </si>
  <si>
    <t>Faktor</t>
  </si>
  <si>
    <t>k</t>
  </si>
  <si>
    <t>alpha</t>
  </si>
  <si>
    <t>Normierte Kapazität</t>
  </si>
  <si>
    <t>Validation Kapazität</t>
  </si>
  <si>
    <r>
      <rPr>
        <i/>
        <sz val="11"/>
        <color theme="1"/>
        <rFont val="Arial"/>
        <family val="2"/>
      </rPr>
      <t>z</t>
    </r>
    <r>
      <rPr>
        <i/>
        <vertAlign val="subscript"/>
        <sz val="11"/>
        <color theme="1"/>
        <rFont val="Arial"/>
        <family val="2"/>
      </rPr>
      <t>MC</t>
    </r>
  </si>
  <si>
    <r>
      <t>F</t>
    </r>
    <r>
      <rPr>
        <i/>
        <vertAlign val="subscript"/>
        <sz val="11"/>
        <color theme="1"/>
        <rFont val="Arial"/>
        <family val="2"/>
      </rPr>
      <t>CC</t>
    </r>
  </si>
  <si>
    <t>Validation Teilfüllungsverhältnis</t>
  </si>
  <si>
    <r>
      <rPr>
        <i/>
        <sz val="11"/>
        <color theme="1"/>
        <rFont val="Arial"/>
        <family val="2"/>
      </rPr>
      <t>z</t>
    </r>
    <r>
      <rPr>
        <i/>
        <vertAlign val="subscript"/>
        <sz val="11"/>
        <color theme="1"/>
        <rFont val="Arial"/>
        <family val="2"/>
      </rPr>
      <t>MC</t>
    </r>
    <r>
      <rPr>
        <sz val="11"/>
        <color theme="1"/>
        <rFont val="Arial"/>
        <family val="2"/>
      </rPr>
      <t>=0.67</t>
    </r>
  </si>
  <si>
    <t>Abflusstiefe</t>
  </si>
  <si>
    <t>maximaler Abfluss (GEP, z.B. Starkregen)</t>
  </si>
  <si>
    <t>minimaler Abfluss (GEP, z.B. Trockenwetter)</t>
  </si>
  <si>
    <t>Mindestdurchmesser Kanalisationsrohr</t>
  </si>
  <si>
    <t>gewählter Durchmesser Kanalisationsrohr</t>
  </si>
  <si>
    <r>
      <t xml:space="preserve">Abflussgeschwindigkeit (SIA Doku D 0264 Tab 2 für </t>
    </r>
    <r>
      <rPr>
        <i/>
        <sz val="11"/>
        <color theme="1"/>
        <rFont val="Arial"/>
        <family val="2"/>
      </rPr>
      <t>m</t>
    </r>
    <r>
      <rPr>
        <sz val="11"/>
        <color theme="1"/>
        <rFont val="Arial"/>
        <family val="2"/>
      </rPr>
      <t>)</t>
    </r>
  </si>
  <si>
    <r>
      <t>z</t>
    </r>
    <r>
      <rPr>
        <b/>
        <i/>
        <vertAlign val="subscript"/>
        <sz val="11"/>
        <rFont val="Arial"/>
        <family val="2"/>
      </rPr>
      <t>C</t>
    </r>
  </si>
  <si>
    <t>Strickler (Normalabfluss, hydr. raues Regime)</t>
  </si>
  <si>
    <t>Strickler (Normalabfluss, hydr. raues Regime. Gl. 30)</t>
  </si>
  <si>
    <t>Froudezahl (Colebrook-White, Darcy-Weisbach, Normalabfluss, Gl. 3)</t>
  </si>
  <si>
    <t>Version 2024_1</t>
  </si>
  <si>
    <r>
      <t xml:space="preserve">Zielwertsuche </t>
    </r>
    <r>
      <rPr>
        <i/>
        <sz val="11"/>
        <color theme="1"/>
        <rFont val="Arial"/>
        <family val="2"/>
      </rPr>
      <t>M</t>
    </r>
    <r>
      <rPr>
        <sz val="11"/>
        <color theme="1"/>
        <rFont val="Arial"/>
        <family val="2"/>
      </rPr>
      <t xml:space="preserve"> (C-W, C-W, F)</t>
    </r>
  </si>
  <si>
    <t xml:space="preserve">Crispino, Pfister &amp; Gisonni (2019), sowie Pfister, Gökok &amp; Gisonni (2013) </t>
  </si>
  <si>
    <t>Kreisquerschnitt, Normalabfluss, Ansatz Colebrook-White/Darcy-Weisbach/Franke</t>
  </si>
  <si>
    <t>q</t>
  </si>
  <si>
    <t>Neigung Rohrachse</t>
  </si>
  <si>
    <t>Neigung Rohr</t>
  </si>
  <si>
    <t>Stricklerbeiwert</t>
  </si>
  <si>
    <r>
      <t>Gl. 38, 0.3&lt;</t>
    </r>
    <r>
      <rPr>
        <i/>
        <sz val="11"/>
        <color theme="1"/>
        <rFont val="Arial"/>
        <family val="2"/>
      </rPr>
      <t>z</t>
    </r>
    <r>
      <rPr>
        <i/>
        <vertAlign val="subscript"/>
        <sz val="11"/>
        <color theme="1"/>
        <rFont val="Arial"/>
        <family val="2"/>
      </rPr>
      <t>M</t>
    </r>
    <r>
      <rPr>
        <sz val="11"/>
        <color theme="1"/>
        <rFont val="Arial"/>
        <family val="2"/>
      </rPr>
      <t>&lt;0.7</t>
    </r>
  </si>
  <si>
    <r>
      <t>Stricklerbeiwert, SIA D 0264 Tab. 1, 18&lt;</t>
    </r>
    <r>
      <rPr>
        <i/>
        <sz val="11"/>
        <color theme="1"/>
        <rFont val="Arial"/>
        <family val="2"/>
      </rPr>
      <t>K</t>
    </r>
    <r>
      <rPr>
        <i/>
        <vertAlign val="subscript"/>
        <sz val="11"/>
        <color theme="1"/>
        <rFont val="Arial"/>
        <family val="2"/>
      </rPr>
      <t>S</t>
    </r>
    <r>
      <rPr>
        <sz val="11"/>
        <color theme="1"/>
        <rFont val="Arial"/>
        <family val="2"/>
      </rPr>
      <t>&lt;87 m</t>
    </r>
    <r>
      <rPr>
        <vertAlign val="superscript"/>
        <sz val="11"/>
        <color theme="1"/>
        <rFont val="Arial"/>
        <family val="2"/>
      </rPr>
      <t>1/3</t>
    </r>
    <r>
      <rPr>
        <sz val="11"/>
        <color theme="1"/>
        <rFont val="Arial"/>
        <family val="2"/>
      </rPr>
      <t>/s</t>
    </r>
  </si>
  <si>
    <t>SIA D 0264 Tab. 1</t>
  </si>
  <si>
    <t>Validation max. Teilfüllungsverhältnis</t>
  </si>
  <si>
    <r>
      <t>Q*</t>
    </r>
    <r>
      <rPr>
        <b/>
        <i/>
        <vertAlign val="subscript"/>
        <sz val="11"/>
        <color theme="1"/>
        <rFont val="Arial"/>
        <family val="2"/>
      </rPr>
      <t>C</t>
    </r>
  </si>
  <si>
    <t>Umlenkwinkel axial</t>
  </si>
  <si>
    <t>Rohr-Durchmesser</t>
  </si>
  <si>
    <r>
      <t xml:space="preserve">Verhältnis </t>
    </r>
    <r>
      <rPr>
        <i/>
        <sz val="11"/>
        <color theme="1"/>
        <rFont val="Arial"/>
        <family val="2"/>
      </rPr>
      <t>D</t>
    </r>
    <r>
      <rPr>
        <i/>
        <vertAlign val="subscript"/>
        <sz val="11"/>
        <color theme="1"/>
        <rFont val="Arial"/>
        <family val="2"/>
      </rPr>
      <t>i</t>
    </r>
    <r>
      <rPr>
        <sz val="11"/>
        <color theme="1"/>
        <rFont val="Arial"/>
        <family val="2"/>
      </rPr>
      <t>/</t>
    </r>
    <r>
      <rPr>
        <i/>
        <sz val="11"/>
        <color theme="1"/>
        <rFont val="Arial"/>
        <family val="2"/>
      </rPr>
      <t>D</t>
    </r>
    <r>
      <rPr>
        <i/>
        <vertAlign val="subscript"/>
        <sz val="11"/>
        <color theme="1"/>
        <rFont val="Arial"/>
        <family val="2"/>
      </rPr>
      <t>U</t>
    </r>
  </si>
  <si>
    <t>Gleichung, Anmerkung</t>
  </si>
  <si>
    <t>D 0264, Abb. 16</t>
  </si>
  <si>
    <t>autom. auf 45° lim.</t>
  </si>
  <si>
    <r>
      <t xml:space="preserve">alle drei </t>
    </r>
    <r>
      <rPr>
        <i/>
        <sz val="11"/>
        <color theme="1"/>
        <rFont val="Arial"/>
        <family val="2"/>
      </rPr>
      <t>d</t>
    </r>
    <r>
      <rPr>
        <i/>
        <vertAlign val="subscript"/>
        <sz val="11"/>
        <color theme="1"/>
        <rFont val="Arial"/>
        <family val="2"/>
      </rPr>
      <t>i</t>
    </r>
    <r>
      <rPr>
        <sz val="11"/>
        <color theme="1"/>
        <rFont val="Arial"/>
        <family val="2"/>
      </rPr>
      <t xml:space="preserve"> sind gleich</t>
    </r>
  </si>
  <si>
    <t>Gl. 37, norm. Abfluss</t>
  </si>
  <si>
    <t>Gl. 38, Teilfüllung</t>
  </si>
  <si>
    <t>Gl. 4, Froude-Zahl</t>
  </si>
  <si>
    <t>Gl. 54, normierter Durchfluss</t>
  </si>
  <si>
    <t>Gl. 88</t>
  </si>
  <si>
    <t>GL. 4</t>
  </si>
  <si>
    <t>weder horiz. noch glatt</t>
  </si>
  <si>
    <r>
      <t xml:space="preserve">sofern alle drei </t>
    </r>
    <r>
      <rPr>
        <i/>
        <sz val="11"/>
        <color theme="1"/>
        <rFont val="Arial"/>
        <family val="2"/>
      </rPr>
      <t>d</t>
    </r>
    <r>
      <rPr>
        <i/>
        <vertAlign val="subscript"/>
        <sz val="11"/>
        <color theme="1"/>
        <rFont val="Arial"/>
        <family val="2"/>
      </rPr>
      <t>i</t>
    </r>
    <r>
      <rPr>
        <sz val="11"/>
        <color theme="1"/>
        <rFont val="Arial"/>
        <family val="2"/>
      </rPr>
      <t xml:space="preserve"> gleich sind</t>
    </r>
  </si>
  <si>
    <r>
      <t>d</t>
    </r>
    <r>
      <rPr>
        <i/>
        <vertAlign val="subscript"/>
        <sz val="11"/>
        <color theme="1"/>
        <rFont val="Arial"/>
        <family val="2"/>
      </rPr>
      <t>i,OLU</t>
    </r>
  </si>
  <si>
    <t>Zuleitung</t>
  </si>
  <si>
    <t>Durchm. abgeh. Leit.</t>
  </si>
  <si>
    <r>
      <t>Crispino, Dorthe, Gisonni und Pfister (2022, 2023)</t>
    </r>
    <r>
      <rPr>
        <sz val="11"/>
        <color theme="8"/>
        <rFont val="Arial"/>
        <family val="2"/>
      </rPr>
      <t xml:space="preserve">, variable </t>
    </r>
    <r>
      <rPr>
        <i/>
        <sz val="11"/>
        <color theme="8"/>
        <rFont val="Arial"/>
        <family val="2"/>
      </rPr>
      <t>R</t>
    </r>
    <r>
      <rPr>
        <i/>
        <vertAlign val="subscript"/>
        <sz val="11"/>
        <color theme="8"/>
        <rFont val="Arial"/>
        <family val="2"/>
      </rPr>
      <t>a</t>
    </r>
    <r>
      <rPr>
        <sz val="11"/>
        <color theme="8"/>
        <rFont val="Arial"/>
        <family val="2"/>
      </rPr>
      <t>/</t>
    </r>
    <r>
      <rPr>
        <i/>
        <sz val="11"/>
        <color theme="8"/>
        <rFont val="Arial"/>
        <family val="2"/>
      </rPr>
      <t>D</t>
    </r>
    <r>
      <rPr>
        <sz val="11"/>
        <color theme="8"/>
        <rFont val="Arial"/>
        <family val="2"/>
      </rPr>
      <t xml:space="preserve"> und </t>
    </r>
    <r>
      <rPr>
        <i/>
        <sz val="11"/>
        <color theme="8"/>
        <rFont val="Arial"/>
        <family val="2"/>
      </rPr>
      <t>L</t>
    </r>
    <r>
      <rPr>
        <sz val="11"/>
        <color theme="8"/>
        <rFont val="Arial"/>
        <family val="2"/>
      </rPr>
      <t>/</t>
    </r>
    <r>
      <rPr>
        <i/>
        <sz val="11"/>
        <color theme="8"/>
        <rFont val="Arial"/>
        <family val="2"/>
      </rPr>
      <t>D</t>
    </r>
  </si>
  <si>
    <r>
      <t xml:space="preserve">Del Giudice et al.  (2000) ohne Verlängerungsstück </t>
    </r>
    <r>
      <rPr>
        <sz val="11"/>
        <color theme="8"/>
        <rFont val="Arial"/>
        <family val="2"/>
      </rPr>
      <t xml:space="preserve">(konstante </t>
    </r>
    <r>
      <rPr>
        <i/>
        <sz val="11"/>
        <color theme="8"/>
        <rFont val="Arial"/>
        <family val="2"/>
      </rPr>
      <t>L</t>
    </r>
    <r>
      <rPr>
        <sz val="11"/>
        <color theme="8"/>
        <rFont val="Arial"/>
        <family val="2"/>
      </rPr>
      <t>/</t>
    </r>
    <r>
      <rPr>
        <i/>
        <sz val="11"/>
        <color theme="8"/>
        <rFont val="Arial"/>
        <family val="2"/>
      </rPr>
      <t>D</t>
    </r>
    <r>
      <rPr>
        <sz val="11"/>
        <color theme="8"/>
        <rFont val="Arial"/>
        <family val="2"/>
      </rPr>
      <t xml:space="preserve">=0 und </t>
    </r>
    <r>
      <rPr>
        <i/>
        <sz val="11"/>
        <color theme="8"/>
        <rFont val="Arial"/>
        <family val="2"/>
      </rPr>
      <t>R</t>
    </r>
    <r>
      <rPr>
        <i/>
        <vertAlign val="subscript"/>
        <sz val="11"/>
        <color theme="8"/>
        <rFont val="Arial"/>
        <family val="2"/>
      </rPr>
      <t>a</t>
    </r>
    <r>
      <rPr>
        <sz val="11"/>
        <color theme="8"/>
        <rFont val="Arial"/>
        <family val="2"/>
      </rPr>
      <t>/</t>
    </r>
    <r>
      <rPr>
        <i/>
        <sz val="11"/>
        <color theme="8"/>
        <rFont val="Arial"/>
        <family val="2"/>
      </rPr>
      <t>D</t>
    </r>
    <r>
      <rPr>
        <sz val="11"/>
        <color theme="8"/>
        <rFont val="Arial"/>
        <family val="2"/>
      </rPr>
      <t>=3)</t>
    </r>
  </si>
  <si>
    <r>
      <t xml:space="preserve">Hager und Giosnni (2005) mit Verlängerungsstück </t>
    </r>
    <r>
      <rPr>
        <sz val="11"/>
        <color theme="8"/>
        <rFont val="Arial"/>
        <family val="2"/>
      </rPr>
      <t xml:space="preserve">(konstante </t>
    </r>
    <r>
      <rPr>
        <i/>
        <sz val="11"/>
        <color theme="8"/>
        <rFont val="Arial"/>
        <family val="2"/>
      </rPr>
      <t>L</t>
    </r>
    <r>
      <rPr>
        <sz val="11"/>
        <color theme="8"/>
        <rFont val="Arial"/>
        <family val="2"/>
      </rPr>
      <t>/</t>
    </r>
    <r>
      <rPr>
        <i/>
        <sz val="11"/>
        <color theme="8"/>
        <rFont val="Arial"/>
        <family val="2"/>
      </rPr>
      <t>D</t>
    </r>
    <r>
      <rPr>
        <sz val="11"/>
        <color theme="8"/>
        <rFont val="Arial"/>
        <family val="2"/>
      </rPr>
      <t xml:space="preserve">=2 und </t>
    </r>
    <r>
      <rPr>
        <i/>
        <sz val="11"/>
        <color theme="8"/>
        <rFont val="Arial"/>
        <family val="2"/>
      </rPr>
      <t>R</t>
    </r>
    <r>
      <rPr>
        <i/>
        <vertAlign val="subscript"/>
        <sz val="11"/>
        <color theme="8"/>
        <rFont val="Arial"/>
        <family val="2"/>
      </rPr>
      <t>a</t>
    </r>
    <r>
      <rPr>
        <sz val="11"/>
        <color theme="8"/>
        <rFont val="Arial"/>
        <family val="2"/>
      </rPr>
      <t>/</t>
    </r>
    <r>
      <rPr>
        <i/>
        <sz val="11"/>
        <color theme="8"/>
        <rFont val="Arial"/>
        <family val="2"/>
      </rPr>
      <t>D</t>
    </r>
    <r>
      <rPr>
        <sz val="11"/>
        <color theme="8"/>
        <rFont val="Arial"/>
        <family val="2"/>
      </rPr>
      <t>=3)</t>
    </r>
  </si>
  <si>
    <r>
      <rPr>
        <i/>
        <sz val="11"/>
        <color theme="1"/>
        <rFont val="Arial"/>
        <family val="2"/>
      </rPr>
      <t>D</t>
    </r>
    <r>
      <rPr>
        <sz val="11"/>
        <color theme="1"/>
        <rFont val="Arial"/>
        <family val="2"/>
      </rPr>
      <t xml:space="preserve"> in Bild</t>
    </r>
  </si>
  <si>
    <t>maximaler Abfluss</t>
  </si>
  <si>
    <t>für Bereich (3)</t>
  </si>
  <si>
    <r>
      <t>Tabelle rechts (Tableau 2, &lt;</t>
    </r>
    <r>
      <rPr>
        <i/>
        <sz val="11"/>
        <color theme="1"/>
        <rFont val="Arial"/>
        <family val="2"/>
      </rPr>
      <t>y</t>
    </r>
    <r>
      <rPr>
        <i/>
        <vertAlign val="subscript"/>
        <sz val="11"/>
        <color theme="1"/>
        <rFont val="Arial"/>
        <family val="2"/>
      </rPr>
      <t>oC</t>
    </r>
    <r>
      <rPr>
        <sz val="11"/>
        <color theme="1"/>
        <rFont val="Arial"/>
        <family val="2"/>
      </rPr>
      <t>)</t>
    </r>
  </si>
  <si>
    <t>Maximaler Abfluss</t>
  </si>
  <si>
    <t>Länge gerades Verlängerungsstück</t>
  </si>
  <si>
    <r>
      <t>sin</t>
    </r>
    <r>
      <rPr>
        <i/>
        <sz val="11"/>
        <color theme="1"/>
        <rFont val="Arial"/>
        <family val="2"/>
      </rPr>
      <t>θ</t>
    </r>
  </si>
  <si>
    <t>Vereinigung (schiessender Zufluss)</t>
  </si>
  <si>
    <t>Krümmerschacht (schiessender Zufluss)</t>
  </si>
  <si>
    <r>
      <t>0.6≤</t>
    </r>
    <r>
      <rPr>
        <i/>
        <sz val="11"/>
        <rFont val="Arial"/>
        <family val="2"/>
      </rPr>
      <t>β</t>
    </r>
    <r>
      <rPr>
        <sz val="11"/>
        <rFont val="Arial"/>
        <family val="2"/>
      </rPr>
      <t>≤0.8 Taubmann</t>
    </r>
  </si>
  <si>
    <r>
      <t xml:space="preserve">Taubmann, </t>
    </r>
    <r>
      <rPr>
        <b/>
        <i/>
        <sz val="11"/>
        <color rgb="FFFF0000"/>
        <rFont val="Arial"/>
        <family val="2"/>
      </rPr>
      <t>J</t>
    </r>
    <r>
      <rPr>
        <b/>
        <i/>
        <vertAlign val="subscript"/>
        <sz val="11"/>
        <color rgb="FFFF0000"/>
        <rFont val="Arial"/>
        <family val="2"/>
      </rPr>
      <t>S</t>
    </r>
    <r>
      <rPr>
        <b/>
        <sz val="11"/>
        <color rgb="FFFF0000"/>
        <rFont val="Arial"/>
        <family val="2"/>
      </rPr>
      <t>&lt;0.2</t>
    </r>
  </si>
  <si>
    <r>
      <t xml:space="preserve">Taubmann, </t>
    </r>
    <r>
      <rPr>
        <b/>
        <sz val="11"/>
        <color rgb="FFFF0000"/>
        <rFont val="Arial"/>
        <family val="2"/>
      </rPr>
      <t>0.2&lt;</t>
    </r>
    <r>
      <rPr>
        <b/>
        <i/>
        <sz val="11"/>
        <color rgb="FFFF0000"/>
        <rFont val="Arial"/>
        <family val="2"/>
      </rPr>
      <t>J</t>
    </r>
    <r>
      <rPr>
        <b/>
        <i/>
        <vertAlign val="subscript"/>
        <sz val="11"/>
        <color rgb="FFFF0000"/>
        <rFont val="Arial"/>
        <family val="2"/>
      </rPr>
      <t>S</t>
    </r>
    <r>
      <rPr>
        <b/>
        <sz val="11"/>
        <color rgb="FFFF0000"/>
        <rFont val="Arial"/>
        <family val="2"/>
      </rPr>
      <t>&lt;0.4</t>
    </r>
  </si>
  <si>
    <t>Bodenöffnung</t>
  </si>
  <si>
    <t>η</t>
  </si>
  <si>
    <t>Breite Wasserspiegel</t>
  </si>
  <si>
    <t>MAX</t>
  </si>
  <si>
    <t>Die Blätter werden kostenlos und unverschlüsselt zur Verfügung gestellt.</t>
  </si>
  <si>
    <t>Quellenangabe: Pfister, M. (2024). Berechnungsblätter zur Kanalisationshydraulik. HEIA-FR, HES-SO, itec.heia-fr.ch, online.</t>
  </si>
  <si>
    <t>Ziel ist nicht die elegante Berechnung (z.B. mit Makros), sondern die Visualisierung der Zusammenhänge. Didaktische Aspekte stehen im Vordergrund.</t>
  </si>
  <si>
    <t>Es sind nur die dunkelblauen Felder einzufüllen. Alle anderen Felder werden automatisch berechnet.</t>
  </si>
  <si>
    <t>Streichwehr</t>
  </si>
  <si>
    <r>
      <t>d</t>
    </r>
    <r>
      <rPr>
        <i/>
        <vertAlign val="subscript"/>
        <sz val="11"/>
        <color theme="1"/>
        <rFont val="Arial"/>
        <family val="2"/>
      </rPr>
      <t>i</t>
    </r>
    <r>
      <rPr>
        <vertAlign val="subscript"/>
        <sz val="11"/>
        <color theme="1"/>
        <rFont val="Arial"/>
        <family val="2"/>
      </rPr>
      <t>O</t>
    </r>
  </si>
  <si>
    <t>Einzuhaltende Bedingungen (meist aus Modellver-suchen)</t>
  </si>
  <si>
    <r>
      <t xml:space="preserve">Zufluss </t>
    </r>
    <r>
      <rPr>
        <b/>
        <i/>
        <sz val="11"/>
        <rFont val="Arial"/>
        <family val="2"/>
      </rPr>
      <t>Q</t>
    </r>
    <r>
      <rPr>
        <b/>
        <i/>
        <vertAlign val="subscript"/>
        <sz val="11"/>
        <rFont val="Arial"/>
        <family val="2"/>
      </rPr>
      <t>M</t>
    </r>
  </si>
  <si>
    <r>
      <t>q</t>
    </r>
    <r>
      <rPr>
        <i/>
        <vertAlign val="subscript"/>
        <sz val="11"/>
        <rFont val="Arial"/>
        <family val="2"/>
      </rPr>
      <t>MO</t>
    </r>
  </si>
  <si>
    <r>
      <t>y</t>
    </r>
    <r>
      <rPr>
        <i/>
        <vertAlign val="subscript"/>
        <sz val="11"/>
        <rFont val="Arial"/>
        <family val="2"/>
      </rPr>
      <t>MO</t>
    </r>
  </si>
  <si>
    <r>
      <t>A</t>
    </r>
    <r>
      <rPr>
        <i/>
        <vertAlign val="subscript"/>
        <sz val="11"/>
        <rFont val="Arial"/>
        <family val="2"/>
      </rPr>
      <t>MO</t>
    </r>
  </si>
  <si>
    <r>
      <t>V</t>
    </r>
    <r>
      <rPr>
        <i/>
        <vertAlign val="subscript"/>
        <sz val="11"/>
        <rFont val="Arial"/>
        <family val="2"/>
      </rPr>
      <t>MO</t>
    </r>
  </si>
  <si>
    <r>
      <rPr>
        <sz val="11"/>
        <rFont val="Arial"/>
        <family val="2"/>
      </rPr>
      <t>Fr</t>
    </r>
    <r>
      <rPr>
        <i/>
        <vertAlign val="subscript"/>
        <sz val="11"/>
        <rFont val="Arial"/>
        <family val="2"/>
      </rPr>
      <t>MO</t>
    </r>
  </si>
  <si>
    <r>
      <t>z</t>
    </r>
    <r>
      <rPr>
        <i/>
        <vertAlign val="subscript"/>
        <sz val="11"/>
        <rFont val="Arial"/>
        <family val="2"/>
      </rPr>
      <t>MO</t>
    </r>
  </si>
  <si>
    <t>max. Abfluss</t>
  </si>
  <si>
    <t>Zufluss Durchm.</t>
  </si>
  <si>
    <t>ben. QS, Gl. 39</t>
  </si>
  <si>
    <t>Geschwindigkeit</t>
  </si>
  <si>
    <t>Froude, Gl. 4</t>
  </si>
  <si>
    <t>Neigung Achse</t>
  </si>
  <si>
    <r>
      <rPr>
        <sz val="11"/>
        <color theme="1"/>
        <rFont val="Aptos Narrow"/>
        <family val="2"/>
      </rPr>
      <t>Δ</t>
    </r>
    <r>
      <rPr>
        <i/>
        <sz val="11"/>
        <color theme="1"/>
        <rFont val="Arial"/>
        <family val="2"/>
      </rPr>
      <t>s</t>
    </r>
  </si>
  <si>
    <t>Gl. 62 Vereinf.</t>
  </si>
  <si>
    <t>Gl. 61</t>
  </si>
  <si>
    <t>Gl. 60</t>
  </si>
  <si>
    <r>
      <rPr>
        <sz val="11"/>
        <rFont val="Arial"/>
        <family val="2"/>
      </rPr>
      <t>Fr</t>
    </r>
    <r>
      <rPr>
        <i/>
        <vertAlign val="subscript"/>
        <sz val="11"/>
        <rFont val="Arial"/>
        <family val="2"/>
      </rPr>
      <t>O</t>
    </r>
  </si>
  <si>
    <t>Gl. 63 exakt</t>
  </si>
  <si>
    <r>
      <t>Fr</t>
    </r>
    <r>
      <rPr>
        <i/>
        <vertAlign val="subscript"/>
        <sz val="11"/>
        <color theme="1"/>
        <rFont val="Arial"/>
        <family val="2"/>
      </rPr>
      <t>M</t>
    </r>
  </si>
  <si>
    <t>Kontraktion</t>
  </si>
  <si>
    <t>Anfangs</t>
  </si>
  <si>
    <t>Wehr</t>
  </si>
  <si>
    <r>
      <t>d</t>
    </r>
    <r>
      <rPr>
        <i/>
        <vertAlign val="subscript"/>
        <sz val="11"/>
        <color theme="1"/>
        <rFont val="Arial"/>
        <family val="2"/>
      </rPr>
      <t>iD</t>
    </r>
  </si>
  <si>
    <r>
      <t>Q</t>
    </r>
    <r>
      <rPr>
        <i/>
        <vertAlign val="subscript"/>
        <sz val="11"/>
        <rFont val="Arial"/>
        <family val="2"/>
      </rPr>
      <t>D</t>
    </r>
  </si>
  <si>
    <r>
      <t>Entlastungsbeginn</t>
    </r>
    <r>
      <rPr>
        <sz val="11"/>
        <color theme="1"/>
        <rFont val="Arial"/>
        <family val="2"/>
      </rPr>
      <t xml:space="preserve"> (Drosselung </t>
    </r>
    <r>
      <rPr>
        <i/>
        <sz val="11"/>
        <color theme="1"/>
        <rFont val="Arial"/>
        <family val="2"/>
      </rPr>
      <t>d</t>
    </r>
    <r>
      <rPr>
        <i/>
        <vertAlign val="subscript"/>
        <sz val="11"/>
        <color theme="1"/>
        <rFont val="Arial"/>
        <family val="2"/>
      </rPr>
      <t>iD</t>
    </r>
    <r>
      <rPr>
        <sz val="11"/>
        <color theme="1"/>
        <rFont val="Arial"/>
        <family val="2"/>
      </rPr>
      <t xml:space="preserve"> einstellen)</t>
    </r>
  </si>
  <si>
    <t>e</t>
  </si>
  <si>
    <r>
      <t>Q</t>
    </r>
    <r>
      <rPr>
        <i/>
        <vertAlign val="subscript"/>
        <sz val="11"/>
        <color theme="1"/>
        <rFont val="Arial"/>
        <family val="2"/>
      </rPr>
      <t>K</t>
    </r>
  </si>
  <si>
    <t>soll im System bleiben</t>
  </si>
  <si>
    <t>Weitergel.</t>
  </si>
  <si>
    <r>
      <t>q</t>
    </r>
    <r>
      <rPr>
        <i/>
        <vertAlign val="subscript"/>
        <sz val="11"/>
        <color theme="1"/>
        <rFont val="Arial"/>
        <family val="2"/>
      </rPr>
      <t>K</t>
    </r>
  </si>
  <si>
    <r>
      <t>z</t>
    </r>
    <r>
      <rPr>
        <i/>
        <vertAlign val="subscript"/>
        <sz val="11"/>
        <color theme="1"/>
        <rFont val="Arial"/>
        <family val="2"/>
      </rPr>
      <t>K</t>
    </r>
  </si>
  <si>
    <r>
      <t>y</t>
    </r>
    <r>
      <rPr>
        <i/>
        <vertAlign val="subscript"/>
        <sz val="11"/>
        <color theme="1"/>
        <rFont val="Arial"/>
        <family val="2"/>
      </rPr>
      <t>K</t>
    </r>
  </si>
  <si>
    <r>
      <t>A</t>
    </r>
    <r>
      <rPr>
        <i/>
        <vertAlign val="subscript"/>
        <sz val="11"/>
        <color theme="1"/>
        <rFont val="Arial"/>
        <family val="2"/>
      </rPr>
      <t>K</t>
    </r>
  </si>
  <si>
    <r>
      <t>V</t>
    </r>
    <r>
      <rPr>
        <i/>
        <vertAlign val="subscript"/>
        <sz val="11"/>
        <color theme="1"/>
        <rFont val="Arial"/>
        <family val="2"/>
      </rPr>
      <t>K</t>
    </r>
  </si>
  <si>
    <r>
      <t>R</t>
    </r>
    <r>
      <rPr>
        <i/>
        <vertAlign val="subscript"/>
        <sz val="11"/>
        <color theme="1"/>
        <rFont val="Arial"/>
        <family val="2"/>
      </rPr>
      <t>hK</t>
    </r>
  </si>
  <si>
    <r>
      <t>Fr</t>
    </r>
    <r>
      <rPr>
        <i/>
        <vertAlign val="subscript"/>
        <sz val="11"/>
        <color theme="1"/>
        <rFont val="Arial"/>
        <family val="2"/>
      </rPr>
      <t>K</t>
    </r>
  </si>
  <si>
    <t>Weitergeleitet</t>
  </si>
  <si>
    <r>
      <t xml:space="preserve">Hager; Pfister &amp; Ribi, </t>
    </r>
    <r>
      <rPr>
        <b/>
        <i/>
        <sz val="11"/>
        <color rgb="FFFF0000"/>
        <rFont val="Arial"/>
        <family val="2"/>
      </rPr>
      <t>J</t>
    </r>
    <r>
      <rPr>
        <b/>
        <i/>
        <vertAlign val="subscript"/>
        <sz val="11"/>
        <color rgb="FFFF0000"/>
        <rFont val="Arial"/>
        <family val="2"/>
      </rPr>
      <t>S</t>
    </r>
    <r>
      <rPr>
        <b/>
        <sz val="11"/>
        <color rgb="FFFF0000"/>
        <rFont val="Arial"/>
        <family val="2"/>
      </rPr>
      <t>&lt;0.2</t>
    </r>
  </si>
  <si>
    <r>
      <t xml:space="preserve">stürzt ab durch </t>
    </r>
    <r>
      <rPr>
        <sz val="11"/>
        <color theme="1"/>
        <rFont val="Aptos Narrow"/>
        <family val="2"/>
      </rPr>
      <t>Ö</t>
    </r>
    <r>
      <rPr>
        <sz val="11"/>
        <color theme="1"/>
        <rFont val="Arial"/>
        <family val="2"/>
      </rPr>
      <t>ffnung</t>
    </r>
  </si>
  <si>
    <r>
      <t xml:space="preserve">durch </t>
    </r>
    <r>
      <rPr>
        <b/>
        <sz val="11"/>
        <color rgb="FFFF0000"/>
        <rFont val="Aptos Narrow"/>
        <family val="2"/>
      </rPr>
      <t>Ö</t>
    </r>
    <r>
      <rPr>
        <b/>
        <sz val="11"/>
        <color rgb="FFFF0000"/>
        <rFont val="Arial"/>
        <family val="2"/>
      </rPr>
      <t>ffnung</t>
    </r>
  </si>
  <si>
    <r>
      <t>Q</t>
    </r>
    <r>
      <rPr>
        <i/>
        <vertAlign val="subscript"/>
        <sz val="11"/>
        <color theme="1"/>
        <rFont val="Arial"/>
        <family val="2"/>
      </rPr>
      <t xml:space="preserve">KM </t>
    </r>
    <r>
      <rPr>
        <sz val="11"/>
        <color theme="1"/>
        <rFont val="Arial"/>
        <family val="2"/>
      </rPr>
      <t xml:space="preserve">mit </t>
    </r>
    <r>
      <rPr>
        <i/>
        <sz val="11"/>
        <color theme="1"/>
        <rFont val="Arial"/>
        <family val="2"/>
      </rPr>
      <t>M</t>
    </r>
  </si>
  <si>
    <r>
      <t>Q</t>
    </r>
    <r>
      <rPr>
        <i/>
        <vertAlign val="subscript"/>
        <sz val="11"/>
        <color theme="1"/>
        <rFont val="Arial"/>
        <family val="2"/>
      </rPr>
      <t>E</t>
    </r>
    <r>
      <rPr>
        <i/>
        <sz val="11"/>
        <color theme="1"/>
        <rFont val="Arial"/>
        <family val="2"/>
      </rPr>
      <t>=Q</t>
    </r>
    <r>
      <rPr>
        <i/>
        <vertAlign val="subscript"/>
        <sz val="11"/>
        <color theme="1"/>
        <rFont val="Arial"/>
        <family val="2"/>
      </rPr>
      <t>M</t>
    </r>
    <r>
      <rPr>
        <sz val="11"/>
        <color theme="1"/>
        <rFont val="Calibri"/>
        <family val="2"/>
      </rPr>
      <t>‒</t>
    </r>
    <r>
      <rPr>
        <i/>
        <sz val="11"/>
        <color theme="1"/>
        <rFont val="Arial"/>
        <family val="2"/>
      </rPr>
      <t>Q</t>
    </r>
    <r>
      <rPr>
        <i/>
        <vertAlign val="subscript"/>
        <sz val="11"/>
        <color theme="1"/>
        <rFont val="Arial"/>
        <family val="2"/>
      </rPr>
      <t>KM</t>
    </r>
  </si>
  <si>
    <r>
      <rPr>
        <sz val="11"/>
        <color theme="1"/>
        <rFont val="Arial"/>
        <family val="2"/>
      </rPr>
      <t>Entlastet unter</t>
    </r>
    <r>
      <rPr>
        <i/>
        <sz val="11"/>
        <color theme="1"/>
        <rFont val="Arial"/>
        <family val="2"/>
      </rPr>
      <t xml:space="preserve"> Q</t>
    </r>
    <r>
      <rPr>
        <i/>
        <vertAlign val="subscript"/>
        <sz val="11"/>
        <color theme="1"/>
        <rFont val="Arial"/>
        <family val="2"/>
      </rPr>
      <t>M</t>
    </r>
  </si>
  <si>
    <r>
      <t>q</t>
    </r>
    <r>
      <rPr>
        <i/>
        <vertAlign val="subscript"/>
        <sz val="11"/>
        <color theme="1"/>
        <rFont val="Arial"/>
        <family val="2"/>
      </rPr>
      <t>E</t>
    </r>
  </si>
  <si>
    <r>
      <t>z</t>
    </r>
    <r>
      <rPr>
        <i/>
        <vertAlign val="subscript"/>
        <sz val="11"/>
        <color theme="1"/>
        <rFont val="Arial"/>
        <family val="2"/>
      </rPr>
      <t>E</t>
    </r>
  </si>
  <si>
    <r>
      <t>y</t>
    </r>
    <r>
      <rPr>
        <i/>
        <vertAlign val="subscript"/>
        <sz val="11"/>
        <color theme="1"/>
        <rFont val="Arial"/>
        <family val="2"/>
      </rPr>
      <t>E</t>
    </r>
  </si>
  <si>
    <r>
      <t>A</t>
    </r>
    <r>
      <rPr>
        <i/>
        <vertAlign val="subscript"/>
        <sz val="11"/>
        <color theme="1"/>
        <rFont val="Arial"/>
        <family val="2"/>
      </rPr>
      <t>E</t>
    </r>
  </si>
  <si>
    <r>
      <t>V</t>
    </r>
    <r>
      <rPr>
        <i/>
        <vertAlign val="subscript"/>
        <sz val="11"/>
        <color theme="1"/>
        <rFont val="Arial"/>
        <family val="2"/>
      </rPr>
      <t>E</t>
    </r>
  </si>
  <si>
    <r>
      <t>R</t>
    </r>
    <r>
      <rPr>
        <i/>
        <vertAlign val="subscript"/>
        <sz val="11"/>
        <color theme="1"/>
        <rFont val="Arial"/>
        <family val="2"/>
      </rPr>
      <t>hE</t>
    </r>
  </si>
  <si>
    <r>
      <t>Fr</t>
    </r>
    <r>
      <rPr>
        <i/>
        <vertAlign val="subscript"/>
        <sz val="11"/>
        <color theme="1"/>
        <rFont val="Arial"/>
        <family val="2"/>
      </rPr>
      <t>E</t>
    </r>
  </si>
  <si>
    <r>
      <t xml:space="preserve">Zufluss Kreisquerschnitt, vor </t>
    </r>
    <r>
      <rPr>
        <b/>
        <sz val="11"/>
        <color theme="8"/>
        <rFont val="Aptos Narrow"/>
        <family val="2"/>
      </rPr>
      <t>Ö</t>
    </r>
    <r>
      <rPr>
        <b/>
        <sz val="11"/>
        <color theme="8"/>
        <rFont val="Arial"/>
        <family val="2"/>
      </rPr>
      <t>ffnung, Normalabfluss, Strickler &amp; Hager</t>
    </r>
  </si>
  <si>
    <t>Zufl., Kreis, Normalabfluss, Strickler &amp; Hager</t>
  </si>
  <si>
    <r>
      <t>Q</t>
    </r>
    <r>
      <rPr>
        <b/>
        <i/>
        <vertAlign val="subscript"/>
        <sz val="11"/>
        <color theme="9"/>
        <rFont val="Arial"/>
        <family val="2"/>
      </rPr>
      <t>E</t>
    </r>
    <r>
      <rPr>
        <b/>
        <i/>
        <sz val="11"/>
        <color theme="9"/>
        <rFont val="Arial"/>
        <family val="2"/>
      </rPr>
      <t>/L</t>
    </r>
  </si>
  <si>
    <r>
      <rPr>
        <i/>
        <sz val="11"/>
        <color theme="1"/>
        <rFont val="Arial"/>
        <family val="2"/>
      </rPr>
      <t>d</t>
    </r>
    <r>
      <rPr>
        <i/>
        <vertAlign val="subscript"/>
        <sz val="11"/>
        <color theme="1"/>
        <rFont val="Arial"/>
        <family val="2"/>
      </rPr>
      <t>iD</t>
    </r>
    <r>
      <rPr>
        <sz val="11"/>
        <color theme="1"/>
        <rFont val="Arial"/>
        <family val="2"/>
      </rPr>
      <t>/</t>
    </r>
    <r>
      <rPr>
        <i/>
        <sz val="11"/>
        <color theme="1"/>
        <rFont val="Arial"/>
        <family val="2"/>
      </rPr>
      <t>d</t>
    </r>
    <r>
      <rPr>
        <i/>
        <vertAlign val="subscript"/>
        <sz val="11"/>
        <color theme="1"/>
        <rFont val="Arial"/>
        <family val="2"/>
      </rPr>
      <t>iO</t>
    </r>
  </si>
  <si>
    <r>
      <t>Q</t>
    </r>
    <r>
      <rPr>
        <i/>
        <vertAlign val="subscript"/>
        <sz val="11"/>
        <rFont val="Arial"/>
        <family val="2"/>
      </rPr>
      <t>E</t>
    </r>
    <r>
      <rPr>
        <i/>
        <sz val="11"/>
        <rFont val="Arial"/>
        <family val="2"/>
      </rPr>
      <t>/L</t>
    </r>
  </si>
  <si>
    <r>
      <t>Q</t>
    </r>
    <r>
      <rPr>
        <i/>
        <vertAlign val="subscript"/>
        <sz val="11"/>
        <color theme="9"/>
        <rFont val="Arial"/>
        <family val="2"/>
      </rPr>
      <t>E</t>
    </r>
    <r>
      <rPr>
        <i/>
        <sz val="11"/>
        <color theme="9"/>
        <rFont val="Arial"/>
        <family val="2"/>
      </rPr>
      <t>/L</t>
    </r>
  </si>
  <si>
    <r>
      <t>z</t>
    </r>
    <r>
      <rPr>
        <i/>
        <vertAlign val="subscript"/>
        <sz val="11"/>
        <color theme="1"/>
        <rFont val="Arial"/>
        <family val="2"/>
      </rPr>
      <t>O</t>
    </r>
  </si>
  <si>
    <r>
      <t>h</t>
    </r>
    <r>
      <rPr>
        <i/>
        <vertAlign val="subscript"/>
        <sz val="11"/>
        <color theme="1"/>
        <rFont val="Arial"/>
        <family val="2"/>
      </rPr>
      <t>O</t>
    </r>
  </si>
  <si>
    <r>
      <t>h</t>
    </r>
    <r>
      <rPr>
        <i/>
        <vertAlign val="subscript"/>
        <sz val="11"/>
        <color theme="1"/>
        <rFont val="Arial"/>
        <family val="2"/>
      </rPr>
      <t>U</t>
    </r>
  </si>
  <si>
    <r>
      <rPr>
        <i/>
        <sz val="11"/>
        <color theme="1"/>
        <rFont val="Arial"/>
        <family val="2"/>
      </rPr>
      <t>h</t>
    </r>
    <r>
      <rPr>
        <i/>
        <vertAlign val="subscript"/>
        <sz val="11"/>
        <color theme="1"/>
        <rFont val="Arial"/>
        <family val="2"/>
      </rPr>
      <t>U</t>
    </r>
    <r>
      <rPr>
        <sz val="11"/>
        <color theme="1"/>
        <rFont val="Arial"/>
        <family val="2"/>
      </rPr>
      <t>=</t>
    </r>
    <r>
      <rPr>
        <i/>
        <sz val="11"/>
        <color theme="1"/>
        <rFont val="Arial"/>
        <family val="2"/>
      </rPr>
      <t>w</t>
    </r>
    <r>
      <rPr>
        <i/>
        <vertAlign val="subscript"/>
        <sz val="11"/>
        <color theme="1"/>
        <rFont val="Arial"/>
        <family val="2"/>
      </rPr>
      <t>U</t>
    </r>
  </si>
  <si>
    <r>
      <rPr>
        <i/>
        <sz val="11"/>
        <color theme="1"/>
        <rFont val="Arial"/>
        <family val="2"/>
      </rPr>
      <t>w</t>
    </r>
    <r>
      <rPr>
        <i/>
        <vertAlign val="subscript"/>
        <sz val="11"/>
        <color theme="1"/>
        <rFont val="Arial"/>
        <family val="2"/>
      </rPr>
      <t>O</t>
    </r>
    <r>
      <rPr>
        <sz val="11"/>
        <color theme="1"/>
        <rFont val="Arial"/>
        <family val="2"/>
      </rPr>
      <t>/</t>
    </r>
    <r>
      <rPr>
        <i/>
        <sz val="11"/>
        <color theme="1"/>
        <rFont val="Arial"/>
        <family val="2"/>
      </rPr>
      <t>d</t>
    </r>
    <r>
      <rPr>
        <i/>
        <vertAlign val="subscript"/>
        <sz val="11"/>
        <color theme="1"/>
        <rFont val="Arial"/>
        <family val="2"/>
      </rPr>
      <t>iO</t>
    </r>
  </si>
  <si>
    <r>
      <rPr>
        <i/>
        <sz val="11"/>
        <color theme="1"/>
        <rFont val="Arial"/>
        <family val="2"/>
      </rPr>
      <t>L</t>
    </r>
    <r>
      <rPr>
        <sz val="11"/>
        <color theme="1"/>
        <rFont val="Arial"/>
        <family val="2"/>
      </rPr>
      <t>/</t>
    </r>
    <r>
      <rPr>
        <i/>
        <sz val="11"/>
        <color theme="1"/>
        <rFont val="Arial"/>
        <family val="2"/>
      </rPr>
      <t>d</t>
    </r>
    <r>
      <rPr>
        <i/>
        <vertAlign val="subscript"/>
        <sz val="11"/>
        <color theme="1"/>
        <rFont val="Arial"/>
        <family val="2"/>
      </rPr>
      <t>iO</t>
    </r>
  </si>
  <si>
    <r>
      <t>h</t>
    </r>
    <r>
      <rPr>
        <b/>
        <i/>
        <vertAlign val="subscript"/>
        <sz val="11"/>
        <color theme="1"/>
        <rFont val="Arial"/>
        <family val="2"/>
      </rPr>
      <t>U</t>
    </r>
  </si>
  <si>
    <r>
      <t>A</t>
    </r>
    <r>
      <rPr>
        <i/>
        <vertAlign val="subscript"/>
        <sz val="11"/>
        <color theme="1"/>
        <rFont val="Arial"/>
        <family val="2"/>
      </rPr>
      <t>O</t>
    </r>
  </si>
  <si>
    <r>
      <t>h</t>
    </r>
    <r>
      <rPr>
        <b/>
        <i/>
        <vertAlign val="subscript"/>
        <sz val="11"/>
        <color theme="1"/>
        <rFont val="Arial"/>
        <family val="2"/>
      </rPr>
      <t>O</t>
    </r>
  </si>
  <si>
    <r>
      <t>Fr</t>
    </r>
    <r>
      <rPr>
        <i/>
        <vertAlign val="subscript"/>
        <sz val="11"/>
        <color theme="1"/>
        <rFont val="Arial"/>
        <family val="2"/>
      </rPr>
      <t>o</t>
    </r>
  </si>
  <si>
    <r>
      <t xml:space="preserve">nahe </t>
    </r>
    <r>
      <rPr>
        <i/>
        <sz val="11"/>
        <rFont val="Arial"/>
        <family val="2"/>
      </rPr>
      <t>Q</t>
    </r>
    <r>
      <rPr>
        <i/>
        <vertAlign val="subscript"/>
        <sz val="11"/>
        <rFont val="Arial"/>
        <family val="2"/>
      </rPr>
      <t>K</t>
    </r>
  </si>
  <si>
    <r>
      <t xml:space="preserve">soll </t>
    </r>
    <r>
      <rPr>
        <i/>
        <sz val="11"/>
        <rFont val="Arial"/>
        <family val="2"/>
      </rPr>
      <t>Q</t>
    </r>
    <r>
      <rPr>
        <i/>
        <vertAlign val="subscript"/>
        <sz val="11"/>
        <rFont val="Arial"/>
        <family val="2"/>
      </rPr>
      <t>K</t>
    </r>
    <r>
      <rPr>
        <sz val="11"/>
        <rFont val="Arial"/>
        <family val="2"/>
      </rPr>
      <t xml:space="preserve"> sein!</t>
    </r>
  </si>
  <si>
    <r>
      <t xml:space="preserve">soll </t>
    </r>
    <r>
      <rPr>
        <i/>
        <sz val="11"/>
        <color rgb="FFFF0000"/>
        <rFont val="Arial"/>
        <family val="2"/>
      </rPr>
      <t>Q</t>
    </r>
    <r>
      <rPr>
        <i/>
        <vertAlign val="subscript"/>
        <sz val="11"/>
        <color rgb="FFFF0000"/>
        <rFont val="Arial"/>
        <family val="2"/>
      </rPr>
      <t xml:space="preserve">K </t>
    </r>
    <r>
      <rPr>
        <sz val="11"/>
        <color rgb="FFFF0000"/>
        <rFont val="Arial"/>
        <family val="2"/>
      </rPr>
      <t xml:space="preserve">sein, sonst </t>
    </r>
    <r>
      <rPr>
        <i/>
        <sz val="11"/>
        <color rgb="FFFF0000"/>
        <rFont val="Arial"/>
        <family val="2"/>
      </rPr>
      <t>d</t>
    </r>
    <r>
      <rPr>
        <i/>
        <vertAlign val="subscript"/>
        <sz val="11"/>
        <color rgb="FFFF0000"/>
        <rFont val="Arial"/>
        <family val="2"/>
      </rPr>
      <t>iD</t>
    </r>
    <r>
      <rPr>
        <sz val="11"/>
        <color rgb="FFFF0000"/>
        <rFont val="Arial"/>
        <family val="2"/>
      </rPr>
      <t xml:space="preserve"> verändern (Zelle M14)</t>
    </r>
  </si>
  <si>
    <r>
      <t xml:space="preserve">soll </t>
    </r>
    <r>
      <rPr>
        <i/>
        <sz val="11"/>
        <color rgb="FFFF0000"/>
        <rFont val="Arial"/>
        <family val="2"/>
      </rPr>
      <t>Q</t>
    </r>
    <r>
      <rPr>
        <i/>
        <vertAlign val="subscript"/>
        <sz val="11"/>
        <color rgb="FFFF0000"/>
        <rFont val="Arial"/>
        <family val="2"/>
      </rPr>
      <t>E</t>
    </r>
    <r>
      <rPr>
        <sz val="11"/>
        <color rgb="FFFF0000"/>
        <rFont val="Arial"/>
        <family val="2"/>
      </rPr>
      <t>/</t>
    </r>
    <r>
      <rPr>
        <i/>
        <sz val="11"/>
        <color rgb="FFFF0000"/>
        <rFont val="Arial"/>
        <family val="2"/>
      </rPr>
      <t>L</t>
    </r>
    <r>
      <rPr>
        <sz val="11"/>
        <color rgb="FFFF0000"/>
        <rFont val="Arial"/>
        <family val="2"/>
      </rPr>
      <t xml:space="preserve"> sein (Zelle H13), sonst </t>
    </r>
    <r>
      <rPr>
        <i/>
        <sz val="11"/>
        <color rgb="FFFF0000"/>
        <rFont val="Arial"/>
        <family val="2"/>
      </rPr>
      <t>h</t>
    </r>
    <r>
      <rPr>
        <i/>
        <vertAlign val="subscript"/>
        <sz val="11"/>
        <color rgb="FFFF0000"/>
        <rFont val="Arial"/>
        <family val="2"/>
      </rPr>
      <t>U</t>
    </r>
    <r>
      <rPr>
        <sz val="11"/>
        <color rgb="FFFF0000"/>
        <rFont val="Arial"/>
        <family val="2"/>
      </rPr>
      <t xml:space="preserve"> verändern (Zelle C17)</t>
    </r>
  </si>
  <si>
    <r>
      <t xml:space="preserve">Drosselung, hier rundes Orifice, unter </t>
    </r>
    <r>
      <rPr>
        <b/>
        <i/>
        <sz val="11"/>
        <color theme="1"/>
        <rFont val="Arial"/>
        <family val="2"/>
      </rPr>
      <t>Q</t>
    </r>
    <r>
      <rPr>
        <b/>
        <i/>
        <vertAlign val="subscript"/>
        <sz val="11"/>
        <color theme="1"/>
        <rFont val="Arial"/>
        <family val="2"/>
      </rPr>
      <t>M</t>
    </r>
  </si>
  <si>
    <t>Globale Kennzahlen</t>
  </si>
  <si>
    <t>Neigung der Kanalsohle Zulauf</t>
  </si>
  <si>
    <r>
      <t>Stricklerbeiwert, SIA D 0264 Tab 1, 18&lt;</t>
    </r>
    <r>
      <rPr>
        <i/>
        <sz val="11"/>
        <color theme="1"/>
        <rFont val="Arial"/>
        <family val="2"/>
      </rPr>
      <t>K</t>
    </r>
    <r>
      <rPr>
        <sz val="11"/>
        <color theme="1"/>
        <rFont val="Arial"/>
        <family val="2"/>
      </rPr>
      <t>&lt;87 m</t>
    </r>
    <r>
      <rPr>
        <vertAlign val="superscript"/>
        <sz val="11"/>
        <color theme="1"/>
        <rFont val="Arial"/>
        <family val="2"/>
      </rPr>
      <t>1/3</t>
    </r>
    <r>
      <rPr>
        <sz val="11"/>
        <color theme="1"/>
        <rFont val="Arial"/>
        <family val="2"/>
      </rPr>
      <t>/s</t>
    </r>
  </si>
  <si>
    <t>maximaler Abfluss (z.B. Starkregen)</t>
  </si>
  <si>
    <t>Kanalhöhe Zulauf (rechteckig)</t>
  </si>
  <si>
    <r>
      <rPr>
        <i/>
        <sz val="11"/>
        <color theme="1"/>
        <rFont val="Arial"/>
        <family val="2"/>
      </rPr>
      <t>T</t>
    </r>
    <r>
      <rPr>
        <i/>
        <vertAlign val="subscript"/>
        <sz val="11"/>
        <color theme="1"/>
        <rFont val="Arial"/>
        <family val="2"/>
      </rPr>
      <t>o</t>
    </r>
  </si>
  <si>
    <t>Schachtlänge vertikal</t>
  </si>
  <si>
    <r>
      <t>L</t>
    </r>
    <r>
      <rPr>
        <i/>
        <vertAlign val="subscript"/>
        <sz val="11"/>
        <color theme="1"/>
        <rFont val="Arial"/>
        <family val="2"/>
      </rPr>
      <t>s</t>
    </r>
  </si>
  <si>
    <t>Zulaufkanal (Rechteckquerschnitt, nach Strickler)</t>
  </si>
  <si>
    <r>
      <rPr>
        <i/>
        <sz val="11"/>
        <color theme="1"/>
        <rFont val="Arial"/>
        <family val="2"/>
      </rPr>
      <t>R</t>
    </r>
    <r>
      <rPr>
        <i/>
        <vertAlign val="subscript"/>
        <sz val="11"/>
        <color theme="1"/>
        <rFont val="Arial"/>
        <family val="2"/>
      </rPr>
      <t>h</t>
    </r>
    <r>
      <rPr>
        <vertAlign val="superscript"/>
        <sz val="11"/>
        <color theme="1"/>
        <rFont val="Arial"/>
        <family val="2"/>
      </rPr>
      <t>0.67</t>
    </r>
  </si>
  <si>
    <t>Teilfüllung Kanal</t>
  </si>
  <si>
    <t>Kriterium nach Sauerbrey</t>
  </si>
  <si>
    <t>Fliessgeschwindigkeit Normalabfluss Kanal</t>
  </si>
  <si>
    <r>
      <t>U</t>
    </r>
    <r>
      <rPr>
        <i/>
        <vertAlign val="subscript"/>
        <sz val="11"/>
        <color theme="1"/>
        <rFont val="Arial"/>
        <family val="2"/>
      </rPr>
      <t>o</t>
    </r>
  </si>
  <si>
    <t>[m/s]</t>
  </si>
  <si>
    <t>spezifische Energiehöhe Kanal</t>
  </si>
  <si>
    <r>
      <t>H</t>
    </r>
    <r>
      <rPr>
        <i/>
        <vertAlign val="subscript"/>
        <sz val="11"/>
        <color theme="1"/>
        <rFont val="Arial"/>
        <family val="2"/>
      </rPr>
      <t>o</t>
    </r>
  </si>
  <si>
    <t>Einlaufspirale</t>
  </si>
  <si>
    <r>
      <t>R</t>
    </r>
    <r>
      <rPr>
        <i/>
        <vertAlign val="subscript"/>
        <sz val="11"/>
        <color theme="1"/>
        <rFont val="Arial"/>
        <family val="2"/>
      </rPr>
      <t>1</t>
    </r>
  </si>
  <si>
    <r>
      <t>e</t>
    </r>
    <r>
      <rPr>
        <i/>
        <vertAlign val="subscript"/>
        <sz val="11"/>
        <color theme="1"/>
        <rFont val="Arial"/>
        <family val="2"/>
      </rPr>
      <t>1</t>
    </r>
  </si>
  <si>
    <r>
      <t>R</t>
    </r>
    <r>
      <rPr>
        <i/>
        <vertAlign val="subscript"/>
        <sz val="11"/>
        <color theme="1"/>
        <rFont val="Arial"/>
        <family val="2"/>
      </rPr>
      <t>2</t>
    </r>
  </si>
  <si>
    <r>
      <t>e</t>
    </r>
    <r>
      <rPr>
        <i/>
        <vertAlign val="subscript"/>
        <sz val="11"/>
        <color theme="1"/>
        <rFont val="Arial"/>
        <family val="2"/>
      </rPr>
      <t>2</t>
    </r>
  </si>
  <si>
    <r>
      <t>R</t>
    </r>
    <r>
      <rPr>
        <i/>
        <vertAlign val="subscript"/>
        <sz val="11"/>
        <color theme="1"/>
        <rFont val="Arial"/>
        <family val="2"/>
      </rPr>
      <t>3</t>
    </r>
  </si>
  <si>
    <r>
      <t>e</t>
    </r>
    <r>
      <rPr>
        <i/>
        <vertAlign val="subscript"/>
        <sz val="11"/>
        <color theme="1"/>
        <rFont val="Arial"/>
        <family val="2"/>
      </rPr>
      <t>3</t>
    </r>
  </si>
  <si>
    <r>
      <t>R</t>
    </r>
    <r>
      <rPr>
        <i/>
        <vertAlign val="subscript"/>
        <sz val="11"/>
        <color theme="1"/>
        <rFont val="Arial"/>
        <family val="2"/>
      </rPr>
      <t>4</t>
    </r>
  </si>
  <si>
    <t>Zentrum Schacht zu Aussenwand Kanal</t>
  </si>
  <si>
    <t>a</t>
  </si>
  <si>
    <t>Kanalbreite (rechteckig)</t>
  </si>
  <si>
    <r>
      <t>b</t>
    </r>
    <r>
      <rPr>
        <i/>
        <vertAlign val="subscript"/>
        <sz val="11"/>
        <color theme="1"/>
        <rFont val="Arial"/>
        <family val="2"/>
      </rPr>
      <t>o</t>
    </r>
  </si>
  <si>
    <t>Breite Spirale nach 180°, mit Leitwand</t>
  </si>
  <si>
    <t>d</t>
  </si>
  <si>
    <r>
      <t>Längsneigung Sohle Spirale (&gt;</t>
    </r>
    <r>
      <rPr>
        <i/>
        <sz val="11"/>
        <color theme="1"/>
        <rFont val="Arial"/>
        <family val="2"/>
      </rPr>
      <t>S</t>
    </r>
    <r>
      <rPr>
        <i/>
        <vertAlign val="subscript"/>
        <sz val="11"/>
        <color theme="1"/>
        <rFont val="Arial"/>
        <family val="2"/>
      </rPr>
      <t>o</t>
    </r>
    <r>
      <rPr>
        <sz val="11"/>
        <color theme="1"/>
        <rFont val="Arial"/>
        <family val="2"/>
      </rPr>
      <t>)</t>
    </r>
  </si>
  <si>
    <r>
      <t>S</t>
    </r>
    <r>
      <rPr>
        <i/>
        <vertAlign val="subscript"/>
        <sz val="11"/>
        <color theme="1"/>
        <rFont val="Arial"/>
        <family val="2"/>
      </rPr>
      <t>e</t>
    </r>
  </si>
  <si>
    <t>0.2 (0.3)</t>
  </si>
  <si>
    <t>Stosswellenhöhe</t>
  </si>
  <si>
    <t>Gl. 15.33</t>
  </si>
  <si>
    <t>Schacht</t>
  </si>
  <si>
    <t>Schachtdurchmesser Minimum</t>
  </si>
  <si>
    <r>
      <t>D</t>
    </r>
    <r>
      <rPr>
        <i/>
        <vertAlign val="subscript"/>
        <sz val="11"/>
        <color theme="1"/>
        <rFont val="Arial"/>
        <family val="2"/>
      </rPr>
      <t>sm</t>
    </r>
  </si>
  <si>
    <t>Gl. 15.32</t>
  </si>
  <si>
    <t>Schachtdurchmesser Maximum (Kellenberger S. 205)</t>
  </si>
  <si>
    <r>
      <t>D</t>
    </r>
    <r>
      <rPr>
        <i/>
        <vertAlign val="subscript"/>
        <sz val="11"/>
        <color theme="1"/>
        <rFont val="Arial"/>
        <family val="2"/>
      </rPr>
      <t>sM</t>
    </r>
  </si>
  <si>
    <t>Schachtdurchmesser gewählt</t>
  </si>
  <si>
    <r>
      <t xml:space="preserve">zwischen </t>
    </r>
    <r>
      <rPr>
        <i/>
        <sz val="11"/>
        <color theme="1"/>
        <rFont val="Arial"/>
        <family val="2"/>
      </rPr>
      <t>D</t>
    </r>
    <r>
      <rPr>
        <i/>
        <vertAlign val="subscript"/>
        <sz val="11"/>
        <color theme="1"/>
        <rFont val="Arial"/>
        <family val="2"/>
      </rPr>
      <t>sm</t>
    </r>
    <r>
      <rPr>
        <sz val="11"/>
        <color theme="1"/>
        <rFont val="Arial"/>
        <family val="2"/>
      </rPr>
      <t xml:space="preserve"> und </t>
    </r>
    <r>
      <rPr>
        <i/>
        <sz val="11"/>
        <color theme="1"/>
        <rFont val="Arial"/>
        <family val="2"/>
      </rPr>
      <t>D</t>
    </r>
    <r>
      <rPr>
        <i/>
        <vertAlign val="subscript"/>
        <sz val="11"/>
        <color theme="1"/>
        <rFont val="Arial"/>
        <family val="2"/>
      </rPr>
      <t>sM</t>
    </r>
  </si>
  <si>
    <t>"Normalabfluss" ab</t>
  </si>
  <si>
    <r>
      <t>z</t>
    </r>
    <r>
      <rPr>
        <i/>
        <vertAlign val="subscript"/>
        <sz val="11"/>
        <color theme="1"/>
        <rFont val="Arial"/>
        <family val="2"/>
      </rPr>
      <t>L</t>
    </r>
  </si>
  <si>
    <t>Gl. 15.37</t>
  </si>
  <si>
    <r>
      <t xml:space="preserve">"Normalabflussgeschwindigkeit" ab </t>
    </r>
    <r>
      <rPr>
        <i/>
        <sz val="11"/>
        <color theme="1"/>
        <rFont val="Arial"/>
        <family val="2"/>
      </rPr>
      <t>z</t>
    </r>
    <r>
      <rPr>
        <i/>
        <vertAlign val="subscript"/>
        <sz val="11"/>
        <color theme="1"/>
        <rFont val="Arial"/>
        <family val="2"/>
      </rPr>
      <t>L</t>
    </r>
  </si>
  <si>
    <r>
      <t>U</t>
    </r>
    <r>
      <rPr>
        <i/>
        <vertAlign val="subscript"/>
        <sz val="11"/>
        <color theme="1"/>
        <rFont val="Arial"/>
        <family val="2"/>
      </rPr>
      <t>N</t>
    </r>
  </si>
  <si>
    <t>Gl. 15.35</t>
  </si>
  <si>
    <r>
      <t xml:space="preserve">Fliessgeschwindigkeit bei </t>
    </r>
    <r>
      <rPr>
        <i/>
        <sz val="11"/>
        <color theme="1"/>
        <rFont val="Arial"/>
        <family val="2"/>
      </rPr>
      <t>L</t>
    </r>
    <r>
      <rPr>
        <vertAlign val="subscript"/>
        <sz val="11"/>
        <color theme="1"/>
        <rFont val="Arial"/>
        <family val="2"/>
      </rPr>
      <t>s</t>
    </r>
  </si>
  <si>
    <r>
      <t>U</t>
    </r>
    <r>
      <rPr>
        <i/>
        <vertAlign val="subscript"/>
        <sz val="11"/>
        <color theme="1"/>
        <rFont val="Arial"/>
        <family val="2"/>
      </rPr>
      <t>L</t>
    </r>
  </si>
  <si>
    <t>Gl. 15.36</t>
  </si>
  <si>
    <t>Effizienz (Anteil Dissipation in Schacht)</t>
  </si>
  <si>
    <t>Luftabfluss im Schacht</t>
  </si>
  <si>
    <r>
      <t>Q</t>
    </r>
    <r>
      <rPr>
        <i/>
        <vertAlign val="subscript"/>
        <sz val="11"/>
        <color theme="1"/>
        <rFont val="Arial"/>
        <family val="2"/>
      </rPr>
      <t>aM</t>
    </r>
  </si>
  <si>
    <t>gewählte Luftgeschwindigkeit im Kamin</t>
  </si>
  <si>
    <r>
      <t>U</t>
    </r>
    <r>
      <rPr>
        <i/>
        <vertAlign val="subscript"/>
        <sz val="11"/>
        <color theme="1"/>
        <rFont val="Arial"/>
        <family val="2"/>
      </rPr>
      <t>a</t>
    </r>
  </si>
  <si>
    <t>30 .. 40 m/s</t>
  </si>
  <si>
    <r>
      <t>D</t>
    </r>
    <r>
      <rPr>
        <i/>
        <vertAlign val="subscript"/>
        <sz val="11"/>
        <color theme="1"/>
        <rFont val="Arial"/>
        <family val="2"/>
      </rPr>
      <t>a</t>
    </r>
  </si>
  <si>
    <t>Dissipationskammer</t>
  </si>
  <si>
    <t>Durchmesser Leitung nach Dissipationskammer</t>
  </si>
  <si>
    <r>
      <t>D</t>
    </r>
    <r>
      <rPr>
        <i/>
        <vertAlign val="subscript"/>
        <sz val="11"/>
        <color theme="1"/>
        <rFont val="Arial"/>
        <family val="2"/>
      </rPr>
      <t>u</t>
    </r>
  </si>
  <si>
    <t>Länge</t>
  </si>
  <si>
    <r>
      <t>S</t>
    </r>
    <r>
      <rPr>
        <i/>
        <vertAlign val="subscript"/>
        <sz val="11"/>
        <color theme="1"/>
        <rFont val="Arial"/>
        <family val="2"/>
      </rPr>
      <t>t</t>
    </r>
  </si>
  <si>
    <r>
      <t>B</t>
    </r>
    <r>
      <rPr>
        <i/>
        <vertAlign val="subscript"/>
        <sz val="11"/>
        <color theme="1"/>
        <rFont val="Arial"/>
        <family val="2"/>
      </rPr>
      <t>t</t>
    </r>
  </si>
  <si>
    <t>Höhe</t>
  </si>
  <si>
    <r>
      <t>T</t>
    </r>
    <r>
      <rPr>
        <i/>
        <vertAlign val="subscript"/>
        <sz val="11"/>
        <color theme="1"/>
        <rFont val="Arial"/>
        <family val="2"/>
      </rPr>
      <t>t</t>
    </r>
  </si>
  <si>
    <r>
      <t>Stricklerbeiwert, SIA D 0264 Tab 1, 18&lt;KS&lt;87 m</t>
    </r>
    <r>
      <rPr>
        <vertAlign val="superscript"/>
        <sz val="11"/>
        <color theme="1"/>
        <rFont val="Arial"/>
        <family val="2"/>
      </rPr>
      <t>1/3</t>
    </r>
    <r>
      <rPr>
        <sz val="11"/>
        <color theme="1"/>
        <rFont val="Arial"/>
        <family val="2"/>
      </rPr>
      <t>/s</t>
    </r>
  </si>
  <si>
    <r>
      <t>T</t>
    </r>
    <r>
      <rPr>
        <i/>
        <vertAlign val="subscript"/>
        <sz val="11"/>
        <color theme="1"/>
        <rFont val="Arial"/>
        <family val="2"/>
      </rPr>
      <t>o</t>
    </r>
  </si>
  <si>
    <t>Einlaufkammer</t>
  </si>
  <si>
    <t>Ausrundungsradius</t>
  </si>
  <si>
    <r>
      <rPr>
        <sz val="11"/>
        <color theme="1"/>
        <rFont val="Calibri"/>
        <family val="2"/>
      </rPr>
      <t>Δ</t>
    </r>
    <r>
      <rPr>
        <i/>
        <sz val="11"/>
        <color theme="1"/>
        <rFont val="Arial"/>
        <family val="2"/>
      </rPr>
      <t>R</t>
    </r>
  </si>
  <si>
    <t>Minimale Breite (Boden) der Spirale</t>
  </si>
  <si>
    <t>c</t>
  </si>
  <si>
    <t>Minimale Dicke Leitwand</t>
  </si>
  <si>
    <r>
      <t>D</t>
    </r>
    <r>
      <rPr>
        <i/>
        <vertAlign val="subscript"/>
        <sz val="11"/>
        <color theme="1"/>
        <rFont val="Arial"/>
        <family val="2"/>
      </rPr>
      <t>s</t>
    </r>
    <r>
      <rPr>
        <i/>
        <sz val="11"/>
        <color theme="1"/>
        <rFont val="Arial"/>
        <family val="2"/>
      </rPr>
      <t>/a</t>
    </r>
  </si>
  <si>
    <r>
      <t>D</t>
    </r>
    <r>
      <rPr>
        <i/>
        <vertAlign val="subscript"/>
        <sz val="11"/>
        <color theme="1"/>
        <rFont val="Arial"/>
        <family val="2"/>
      </rPr>
      <t>s</t>
    </r>
    <r>
      <rPr>
        <i/>
        <sz val="11"/>
        <color theme="1"/>
        <rFont val="Arial"/>
        <family val="2"/>
      </rPr>
      <t>/6</t>
    </r>
  </si>
  <si>
    <r>
      <t xml:space="preserve">soll kleiner als </t>
    </r>
    <r>
      <rPr>
        <i/>
        <sz val="11"/>
        <color rgb="FFFF0000"/>
        <rFont val="Arial"/>
        <family val="2"/>
      </rPr>
      <t>ΔR</t>
    </r>
    <r>
      <rPr>
        <sz val="11"/>
        <color rgb="FFFF0000"/>
        <rFont val="Arial"/>
        <family val="2"/>
      </rPr>
      <t xml:space="preserve"> sein</t>
    </r>
  </si>
  <si>
    <t>Gl. 15.30</t>
  </si>
  <si>
    <t>Schachtradius Minimum</t>
  </si>
  <si>
    <r>
      <t>R</t>
    </r>
    <r>
      <rPr>
        <i/>
        <vertAlign val="subscript"/>
        <sz val="11"/>
        <color theme="1"/>
        <rFont val="Arial"/>
        <family val="2"/>
      </rPr>
      <t>sm</t>
    </r>
  </si>
  <si>
    <t>Gl. 15.31</t>
  </si>
  <si>
    <t>Schachtradius gewählt</t>
  </si>
  <si>
    <r>
      <t>R</t>
    </r>
    <r>
      <rPr>
        <i/>
        <vertAlign val="subscript"/>
        <sz val="11"/>
        <color theme="1"/>
        <rFont val="Arial"/>
        <family val="2"/>
      </rPr>
      <t>s</t>
    </r>
  </si>
  <si>
    <t>Schachtdurchmesser</t>
  </si>
  <si>
    <r>
      <t>D</t>
    </r>
    <r>
      <rPr>
        <i/>
        <vertAlign val="subscript"/>
        <sz val="11"/>
        <color theme="1"/>
        <rFont val="Arial"/>
        <family val="2"/>
      </rPr>
      <t>s</t>
    </r>
  </si>
  <si>
    <r>
      <t>Hager, 0.1&lt;</t>
    </r>
    <r>
      <rPr>
        <b/>
        <i/>
        <sz val="11"/>
        <color theme="8"/>
        <rFont val="Arial"/>
        <family val="2"/>
      </rPr>
      <t>z</t>
    </r>
    <r>
      <rPr>
        <b/>
        <i/>
        <vertAlign val="subscript"/>
        <sz val="11"/>
        <color theme="8"/>
        <rFont val="Arial"/>
        <family val="2"/>
      </rPr>
      <t>K</t>
    </r>
    <r>
      <rPr>
        <b/>
        <sz val="11"/>
        <color theme="8"/>
        <rFont val="Arial"/>
        <family val="2"/>
      </rPr>
      <t xml:space="preserve">&lt;0.35, </t>
    </r>
    <r>
      <rPr>
        <b/>
        <i/>
        <sz val="11"/>
        <color rgb="FFFF0000"/>
        <rFont val="Arial"/>
        <family val="2"/>
      </rPr>
      <t>J</t>
    </r>
    <r>
      <rPr>
        <b/>
        <i/>
        <vertAlign val="subscript"/>
        <sz val="11"/>
        <color rgb="FFFF0000"/>
        <rFont val="Arial"/>
        <family val="2"/>
      </rPr>
      <t>S</t>
    </r>
    <r>
      <rPr>
        <b/>
        <sz val="11"/>
        <color rgb="FFFF0000"/>
        <rFont val="Arial"/>
        <family val="2"/>
      </rPr>
      <t>=0</t>
    </r>
  </si>
  <si>
    <t>Die Blätter stellen simple Berechnungs-Tools dar und nehmen keine Bemessung vor. Diese obliegt dem kompetenten Ingenieur.</t>
  </si>
  <si>
    <t>Pfister, M. (2024). Berechnungsblätter zur Kanalisationshydraulik. HEIA-FR, HES-SO, itec.heia-fr.ch, online</t>
  </si>
  <si>
    <r>
      <t xml:space="preserve">Froude-Zahl, </t>
    </r>
    <r>
      <rPr>
        <sz val="11"/>
        <color theme="1"/>
        <rFont val="Arial"/>
        <family val="2"/>
      </rPr>
      <t>nicht 0.8&lt;Fr</t>
    </r>
    <r>
      <rPr>
        <i/>
        <vertAlign val="subscript"/>
        <sz val="11"/>
        <color theme="1"/>
        <rFont val="Arial"/>
        <family val="2"/>
      </rPr>
      <t>M</t>
    </r>
    <r>
      <rPr>
        <sz val="11"/>
        <color theme="1"/>
        <rFont val="Arial"/>
        <family val="2"/>
      </rPr>
      <t>&lt;1.2</t>
    </r>
  </si>
  <si>
    <r>
      <t>C</t>
    </r>
    <r>
      <rPr>
        <b/>
        <i/>
        <vertAlign val="subscript"/>
        <sz val="11"/>
        <color theme="1"/>
        <rFont val="Arial"/>
        <family val="2"/>
      </rPr>
      <t>M</t>
    </r>
  </si>
  <si>
    <r>
      <rPr>
        <b/>
        <sz val="11"/>
        <color theme="1"/>
        <rFont val="Arial"/>
        <family val="2"/>
      </rPr>
      <t>Zuschlagen-Zahl</t>
    </r>
    <r>
      <rPr>
        <sz val="11"/>
        <color theme="1"/>
        <rFont val="Arial"/>
        <family val="2"/>
      </rPr>
      <t xml:space="preserve">, </t>
    </r>
    <r>
      <rPr>
        <i/>
        <sz val="11"/>
        <color theme="1"/>
        <rFont val="Arial"/>
        <family val="2"/>
      </rPr>
      <t>C</t>
    </r>
    <r>
      <rPr>
        <i/>
        <vertAlign val="subscript"/>
        <sz val="11"/>
        <color theme="1"/>
        <rFont val="Arial"/>
        <family val="2"/>
      </rPr>
      <t>M</t>
    </r>
    <r>
      <rPr>
        <sz val="11"/>
        <color theme="1"/>
        <rFont val="Arial"/>
        <family val="2"/>
      </rPr>
      <t>&lt;0.9 sofern 1&lt;Fr</t>
    </r>
    <r>
      <rPr>
        <i/>
        <vertAlign val="subscript"/>
        <sz val="11"/>
        <color theme="1"/>
        <rFont val="Arial"/>
        <family val="2"/>
      </rPr>
      <t>M</t>
    </r>
    <r>
      <rPr>
        <sz val="11"/>
        <color theme="1"/>
        <rFont val="Arial"/>
        <family val="2"/>
      </rPr>
      <t>&lt;2</t>
    </r>
  </si>
  <si>
    <t>Luft-Wasser Gemisch-Abflusstiefe</t>
  </si>
  <si>
    <r>
      <t>(3) Gl. 87, normierte Durchflusskapazität, soll &gt;F</t>
    </r>
    <r>
      <rPr>
        <i/>
        <vertAlign val="subscript"/>
        <sz val="11"/>
        <color theme="1"/>
        <rFont val="Arial"/>
        <family val="2"/>
      </rPr>
      <t>U</t>
    </r>
  </si>
  <si>
    <r>
      <rPr>
        <sz val="11"/>
        <color theme="1"/>
        <rFont val="Arial"/>
        <family val="2"/>
      </rPr>
      <t>Fr</t>
    </r>
    <r>
      <rPr>
        <i/>
        <vertAlign val="subscript"/>
        <sz val="11"/>
        <color theme="1"/>
        <rFont val="Arial"/>
        <family val="2"/>
      </rPr>
      <t>U</t>
    </r>
  </si>
  <si>
    <t>Gl. 86, normierte Durchflusskapazität</t>
  </si>
  <si>
    <t>relative Krümmung</t>
  </si>
  <si>
    <t>MIN</t>
  </si>
  <si>
    <r>
      <rPr>
        <i/>
        <sz val="11"/>
        <color theme="1"/>
        <rFont val="Arial"/>
        <family val="2"/>
      </rPr>
      <t>d</t>
    </r>
    <r>
      <rPr>
        <i/>
        <vertAlign val="subscript"/>
        <sz val="11"/>
        <color theme="1"/>
        <rFont val="Arial"/>
        <family val="2"/>
      </rPr>
      <t>iO</t>
    </r>
  </si>
  <si>
    <t>Zufluss Kreisquerschnitt, Normalabfluss, Strickler &amp; Hager</t>
  </si>
  <si>
    <r>
      <t>Q</t>
    </r>
    <r>
      <rPr>
        <i/>
        <vertAlign val="subscript"/>
        <sz val="11"/>
        <color theme="1"/>
        <rFont val="Arial"/>
        <family val="2"/>
      </rPr>
      <t>MO</t>
    </r>
  </si>
  <si>
    <r>
      <t>q</t>
    </r>
    <r>
      <rPr>
        <i/>
        <vertAlign val="subscript"/>
        <sz val="11"/>
        <color theme="1"/>
        <rFont val="Arial"/>
        <family val="2"/>
      </rPr>
      <t>MO</t>
    </r>
  </si>
  <si>
    <r>
      <t>z</t>
    </r>
    <r>
      <rPr>
        <i/>
        <vertAlign val="subscript"/>
        <sz val="11"/>
        <color theme="1"/>
        <rFont val="Arial"/>
        <family val="2"/>
      </rPr>
      <t>MO</t>
    </r>
  </si>
  <si>
    <r>
      <t>y</t>
    </r>
    <r>
      <rPr>
        <i/>
        <vertAlign val="subscript"/>
        <sz val="11"/>
        <color theme="1"/>
        <rFont val="Arial"/>
        <family val="2"/>
      </rPr>
      <t>MO</t>
    </r>
  </si>
  <si>
    <r>
      <t>A</t>
    </r>
    <r>
      <rPr>
        <i/>
        <vertAlign val="subscript"/>
        <sz val="11"/>
        <color theme="1"/>
        <rFont val="Arial"/>
        <family val="2"/>
      </rPr>
      <t>MO</t>
    </r>
  </si>
  <si>
    <r>
      <t>V</t>
    </r>
    <r>
      <rPr>
        <i/>
        <vertAlign val="subscript"/>
        <sz val="11"/>
        <color theme="1"/>
        <rFont val="Arial"/>
        <family val="2"/>
      </rPr>
      <t>MO</t>
    </r>
  </si>
  <si>
    <r>
      <t>R</t>
    </r>
    <r>
      <rPr>
        <i/>
        <vertAlign val="subscript"/>
        <sz val="11"/>
        <color theme="1"/>
        <rFont val="Arial"/>
        <family val="2"/>
      </rPr>
      <t>hMO</t>
    </r>
  </si>
  <si>
    <r>
      <t>Q</t>
    </r>
    <r>
      <rPr>
        <i/>
        <vertAlign val="subscript"/>
        <sz val="11"/>
        <color theme="1"/>
        <rFont val="Arial"/>
        <family val="2"/>
      </rPr>
      <t>mO</t>
    </r>
  </si>
  <si>
    <r>
      <t>q</t>
    </r>
    <r>
      <rPr>
        <i/>
        <vertAlign val="subscript"/>
        <sz val="11"/>
        <color theme="1"/>
        <rFont val="Arial"/>
        <family val="2"/>
      </rPr>
      <t>mO</t>
    </r>
  </si>
  <si>
    <r>
      <t>y</t>
    </r>
    <r>
      <rPr>
        <i/>
        <vertAlign val="subscript"/>
        <sz val="11"/>
        <color theme="1"/>
        <rFont val="Arial"/>
        <family val="2"/>
      </rPr>
      <t>mO</t>
    </r>
  </si>
  <si>
    <r>
      <t>A</t>
    </r>
    <r>
      <rPr>
        <i/>
        <vertAlign val="subscript"/>
        <sz val="11"/>
        <color theme="1"/>
        <rFont val="Arial"/>
        <family val="2"/>
      </rPr>
      <t>mO</t>
    </r>
  </si>
  <si>
    <r>
      <t>V</t>
    </r>
    <r>
      <rPr>
        <i/>
        <vertAlign val="subscript"/>
        <sz val="11"/>
        <color theme="1"/>
        <rFont val="Arial"/>
        <family val="2"/>
      </rPr>
      <t>mO</t>
    </r>
  </si>
  <si>
    <r>
      <t>R</t>
    </r>
    <r>
      <rPr>
        <i/>
        <vertAlign val="subscript"/>
        <sz val="11"/>
        <color theme="1"/>
        <rFont val="Arial"/>
        <family val="2"/>
      </rPr>
      <t>hmO</t>
    </r>
  </si>
  <si>
    <r>
      <t>z</t>
    </r>
    <r>
      <rPr>
        <i/>
        <vertAlign val="subscript"/>
        <sz val="11"/>
        <color theme="1"/>
        <rFont val="Arial"/>
        <family val="2"/>
      </rPr>
      <t>mO</t>
    </r>
  </si>
  <si>
    <r>
      <t>Fr</t>
    </r>
    <r>
      <rPr>
        <i/>
        <vertAlign val="subscript"/>
        <sz val="11"/>
        <color theme="1"/>
        <rFont val="Arial"/>
        <family val="2"/>
      </rPr>
      <t>MO</t>
    </r>
  </si>
  <si>
    <r>
      <t xml:space="preserve"> =</t>
    </r>
    <r>
      <rPr>
        <i/>
        <sz val="11"/>
        <color theme="1"/>
        <rFont val="Arial"/>
        <family val="2"/>
      </rPr>
      <t>d</t>
    </r>
    <r>
      <rPr>
        <i/>
        <vertAlign val="subscript"/>
        <sz val="11"/>
        <color theme="1"/>
        <rFont val="Arial"/>
        <family val="2"/>
      </rPr>
      <t>iU</t>
    </r>
  </si>
  <si>
    <t>beidseitig</t>
  </si>
  <si>
    <r>
      <t>z</t>
    </r>
    <r>
      <rPr>
        <i/>
        <vertAlign val="subscript"/>
        <sz val="11"/>
        <color theme="1"/>
        <rFont val="Arial"/>
        <family val="2"/>
      </rPr>
      <t>MU</t>
    </r>
  </si>
  <si>
    <r>
      <rPr>
        <i/>
        <sz val="11"/>
        <color theme="1"/>
        <rFont val="Arial"/>
        <family val="2"/>
      </rPr>
      <t>y</t>
    </r>
    <r>
      <rPr>
        <i/>
        <vertAlign val="subscript"/>
        <sz val="11"/>
        <color theme="1"/>
        <rFont val="Arial"/>
        <family val="2"/>
      </rPr>
      <t>MU</t>
    </r>
  </si>
  <si>
    <r>
      <t xml:space="preserve">&lt;1.1 (Bild </t>
    </r>
    <r>
      <rPr>
        <i/>
        <sz val="11"/>
        <color theme="1"/>
        <rFont val="Arial"/>
        <family val="2"/>
      </rPr>
      <t>y</t>
    </r>
    <r>
      <rPr>
        <i/>
        <vertAlign val="subscript"/>
        <sz val="11"/>
        <color theme="1"/>
        <rFont val="Arial"/>
        <family val="2"/>
      </rPr>
      <t>o</t>
    </r>
    <r>
      <rPr>
        <sz val="11"/>
        <color theme="1"/>
        <rFont val="Arial"/>
        <family val="2"/>
      </rPr>
      <t>)</t>
    </r>
  </si>
  <si>
    <r>
      <t>Fr</t>
    </r>
    <r>
      <rPr>
        <i/>
        <vertAlign val="subscript"/>
        <sz val="11"/>
        <color theme="1"/>
        <rFont val="Arial"/>
        <family val="2"/>
      </rPr>
      <t>mO</t>
    </r>
  </si>
  <si>
    <r>
      <t>y</t>
    </r>
    <r>
      <rPr>
        <i/>
        <vertAlign val="subscript"/>
        <sz val="11"/>
        <color theme="1"/>
        <rFont val="Arial"/>
        <family val="2"/>
      </rPr>
      <t>eM</t>
    </r>
  </si>
  <si>
    <r>
      <t>y</t>
    </r>
    <r>
      <rPr>
        <i/>
        <vertAlign val="subscript"/>
        <sz val="11"/>
        <color theme="1"/>
        <rFont val="Arial"/>
        <family val="2"/>
      </rPr>
      <t>eM</t>
    </r>
    <r>
      <rPr>
        <i/>
        <sz val="11"/>
        <color theme="1"/>
        <rFont val="Arial"/>
        <family val="2"/>
      </rPr>
      <t>/y</t>
    </r>
    <r>
      <rPr>
        <i/>
        <vertAlign val="subscript"/>
        <sz val="11"/>
        <color theme="1"/>
        <rFont val="Arial"/>
        <family val="2"/>
      </rPr>
      <t>mO</t>
    </r>
  </si>
  <si>
    <r>
      <t>Absturzschacht mit vertikaler Prallplatte</t>
    </r>
    <r>
      <rPr>
        <b/>
        <sz val="11"/>
        <color theme="8"/>
        <rFont val="Arial"/>
        <family val="2"/>
      </rPr>
      <t xml:space="preserve"> (Hager 2010)</t>
    </r>
  </si>
  <si>
    <r>
      <t>Streichwehr (strömender Zufluss)</t>
    </r>
    <r>
      <rPr>
        <b/>
        <sz val="11"/>
        <color theme="8"/>
        <rFont val="Arial"/>
        <family val="2"/>
      </rPr>
      <t xml:space="preserve"> (Hager 2010)</t>
    </r>
  </si>
  <si>
    <r>
      <rPr>
        <b/>
        <sz val="24"/>
        <color theme="8"/>
        <rFont val="Arial"/>
        <family val="2"/>
      </rPr>
      <t>Rohrhydraulik</t>
    </r>
    <r>
      <rPr>
        <b/>
        <sz val="14"/>
        <color theme="8"/>
        <rFont val="Arial"/>
        <family val="2"/>
      </rPr>
      <t xml:space="preserve"> </t>
    </r>
    <r>
      <rPr>
        <b/>
        <sz val="11"/>
        <color theme="8"/>
        <rFont val="Arial"/>
        <family val="2"/>
      </rPr>
      <t>(Hager 2010)</t>
    </r>
  </si>
  <si>
    <t>Bodenöffnung (schiessender Zufluss)</t>
  </si>
  <si>
    <t>rechteckiger Kanalquerschnitt</t>
  </si>
  <si>
    <t>Position Kante OK Prallplatte</t>
  </si>
  <si>
    <t>Schachtfuss (oberwasserseitig)</t>
  </si>
  <si>
    <t>Schachthöhe</t>
  </si>
  <si>
    <t>Startwert für Iteration</t>
  </si>
  <si>
    <r>
      <t xml:space="preserve">Resultat für </t>
    </r>
    <r>
      <rPr>
        <i/>
        <sz val="11"/>
        <color theme="1"/>
        <rFont val="Arial"/>
        <family val="2"/>
      </rPr>
      <t>h</t>
    </r>
    <r>
      <rPr>
        <i/>
        <vertAlign val="subscript"/>
        <sz val="11"/>
        <color theme="1"/>
        <rFont val="Arial"/>
        <family val="2"/>
      </rPr>
      <t>o</t>
    </r>
  </si>
  <si>
    <r>
      <rPr>
        <i/>
        <sz val="11"/>
        <color theme="1"/>
        <rFont val="Arial"/>
        <family val="2"/>
      </rPr>
      <t>J</t>
    </r>
    <r>
      <rPr>
        <i/>
        <vertAlign val="subscript"/>
        <sz val="11"/>
        <color theme="1"/>
        <rFont val="Arial"/>
        <family val="2"/>
      </rPr>
      <t>o</t>
    </r>
  </si>
  <si>
    <r>
      <t>z</t>
    </r>
    <r>
      <rPr>
        <i/>
        <vertAlign val="subscript"/>
        <sz val="11"/>
        <color theme="1"/>
        <rFont val="Arial"/>
        <family val="2"/>
      </rPr>
      <t>oM</t>
    </r>
  </si>
  <si>
    <t>maximal</t>
  </si>
  <si>
    <r>
      <t xml:space="preserve">Wirbelfallschacht strömend </t>
    </r>
    <r>
      <rPr>
        <b/>
        <sz val="11"/>
        <color theme="8"/>
        <rFont val="Arial"/>
        <family val="2"/>
      </rPr>
      <t>Hager (2010, Gleichungsnummern)</t>
    </r>
  </si>
  <si>
    <r>
      <t xml:space="preserve">Wirbelfallschacht schiessend </t>
    </r>
    <r>
      <rPr>
        <b/>
        <sz val="11"/>
        <color theme="8"/>
        <rFont val="Arial"/>
        <family val="2"/>
      </rPr>
      <t>Hager (2010, Gleichungsnummern)</t>
    </r>
  </si>
  <si>
    <t>Normalabflusstiefe Kanal</t>
  </si>
  <si>
    <t>Froude-Zahl im Kanal</t>
  </si>
  <si>
    <t>eigentlich für Kreisquerschnitt!</t>
  </si>
  <si>
    <t>Wassertiefe in Einlaufkammer</t>
  </si>
  <si>
    <t>Durchmesser Belüftungskamin</t>
  </si>
  <si>
    <t>minimal</t>
  </si>
  <si>
    <r>
      <t xml:space="preserve">gleich </t>
    </r>
    <r>
      <rPr>
        <i/>
        <sz val="11"/>
        <color theme="1"/>
        <rFont val="Arial"/>
        <family val="2"/>
      </rPr>
      <t>R</t>
    </r>
    <r>
      <rPr>
        <i/>
        <vertAlign val="subscript"/>
        <sz val="11"/>
        <color theme="1"/>
        <rFont val="Arial"/>
        <family val="2"/>
      </rPr>
      <t>sm</t>
    </r>
    <r>
      <rPr>
        <sz val="11"/>
        <color theme="1"/>
        <rFont val="Arial"/>
        <family val="2"/>
      </rPr>
      <t xml:space="preserve"> oder leicht grösser. Baumethode</t>
    </r>
  </si>
  <si>
    <r>
      <rPr>
        <i/>
        <sz val="11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>=</t>
    </r>
    <r>
      <rPr>
        <i/>
        <sz val="11"/>
        <color theme="1"/>
        <rFont val="Arial"/>
        <family val="2"/>
      </rPr>
      <t>b</t>
    </r>
    <r>
      <rPr>
        <i/>
        <vertAlign val="subscript"/>
        <sz val="11"/>
        <color theme="1"/>
        <rFont val="Arial"/>
        <family val="2"/>
      </rPr>
      <t>o</t>
    </r>
    <r>
      <rPr>
        <sz val="11"/>
        <color theme="1"/>
        <rFont val="Arial"/>
        <family val="2"/>
      </rPr>
      <t>/</t>
    </r>
    <r>
      <rPr>
        <i/>
        <sz val="11"/>
        <color theme="1"/>
        <rFont val="Arial"/>
        <family val="2"/>
      </rPr>
      <t>R</t>
    </r>
    <r>
      <rPr>
        <sz val="11"/>
        <color theme="1"/>
        <rFont val="Arial"/>
        <family val="2"/>
      </rPr>
      <t>, oll "klein" sein</t>
    </r>
  </si>
  <si>
    <r>
      <rPr>
        <i/>
        <sz val="11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>=</t>
    </r>
    <r>
      <rPr>
        <i/>
        <sz val="11"/>
        <color theme="1"/>
        <rFont val="Arial"/>
        <family val="2"/>
      </rPr>
      <t>d</t>
    </r>
    <r>
      <rPr>
        <sz val="11"/>
        <color theme="1"/>
        <rFont val="Arial"/>
        <family val="2"/>
      </rPr>
      <t>/</t>
    </r>
    <r>
      <rPr>
        <i/>
        <sz val="11"/>
        <color theme="1"/>
        <rFont val="Arial"/>
        <family val="2"/>
      </rPr>
      <t>R</t>
    </r>
    <r>
      <rPr>
        <sz val="11"/>
        <color theme="1"/>
        <rFont val="Arial"/>
        <family val="2"/>
      </rPr>
      <t>, soll "klein" sein</t>
    </r>
  </si>
  <si>
    <r>
      <t xml:space="preserve">mindestens </t>
    </r>
    <r>
      <rPr>
        <i/>
        <sz val="11"/>
        <color theme="1"/>
        <rFont val="Arial"/>
        <family val="2"/>
      </rPr>
      <t>D</t>
    </r>
    <r>
      <rPr>
        <i/>
        <vertAlign val="subscript"/>
        <sz val="11"/>
        <color theme="1"/>
        <rFont val="Arial"/>
        <family val="2"/>
      </rPr>
      <t>s</t>
    </r>
    <r>
      <rPr>
        <sz val="11"/>
        <color theme="1"/>
        <rFont val="Arial"/>
        <family val="2"/>
      </rPr>
      <t>, aus Excel-Sheet Rohrhydraulik, Baumethode beachten, ausreichend Be- und Entlüften</t>
    </r>
  </si>
  <si>
    <r>
      <t xml:space="preserve">max. zul. Teilfüllungsv. Reinwasser </t>
    </r>
    <r>
      <rPr>
        <sz val="11"/>
        <rFont val="Arial"/>
        <family val="2"/>
      </rPr>
      <t>(Sauerbrey &amp; Hager)</t>
    </r>
  </si>
  <si>
    <r>
      <rPr>
        <b/>
        <sz val="11"/>
        <color theme="1"/>
        <rFont val="Arial"/>
        <family val="2"/>
      </rPr>
      <t>Luft-Wasser Teilfüllungsver.</t>
    </r>
    <r>
      <rPr>
        <sz val="11"/>
        <color theme="1"/>
        <rFont val="Arial"/>
        <family val="2"/>
      </rPr>
      <t xml:space="preserve"> (&lt;0.9 Volkart 1978, S. 232)</t>
    </r>
  </si>
  <si>
    <t>Froude-Zahl</t>
  </si>
  <si>
    <r>
      <rPr>
        <sz val="11"/>
        <color theme="1"/>
        <rFont val="Arial"/>
        <family val="2"/>
      </rPr>
      <t>Fr</t>
    </r>
    <r>
      <rPr>
        <i/>
        <vertAlign val="subscript"/>
        <sz val="11"/>
        <color theme="1"/>
        <rFont val="Arial"/>
        <family val="2"/>
      </rPr>
      <t>M</t>
    </r>
  </si>
  <si>
    <r>
      <rPr>
        <sz val="11"/>
        <rFont val="Arial"/>
        <family val="2"/>
      </rPr>
      <t xml:space="preserve">Weitergeleitet unter </t>
    </r>
    <r>
      <rPr>
        <i/>
        <sz val="11"/>
        <rFont val="Arial"/>
        <family val="2"/>
      </rPr>
      <t>Q</t>
    </r>
    <r>
      <rPr>
        <i/>
        <vertAlign val="subscript"/>
        <sz val="11"/>
        <rFont val="Arial"/>
        <family val="2"/>
      </rPr>
      <t>M</t>
    </r>
    <r>
      <rPr>
        <sz val="11"/>
        <rFont val="Arial"/>
        <family val="2"/>
      </rPr>
      <t xml:space="preserve"> </t>
    </r>
    <r>
      <rPr>
        <b/>
        <sz val="11"/>
        <color theme="8"/>
        <rFont val="Arial"/>
        <family val="2"/>
      </rPr>
      <t>H-P-R</t>
    </r>
  </si>
  <si>
    <r>
      <t xml:space="preserve">Weiterlauf unter </t>
    </r>
    <r>
      <rPr>
        <b/>
        <i/>
        <sz val="11"/>
        <color theme="8"/>
        <rFont val="Arial"/>
        <family val="2"/>
      </rPr>
      <t>Q</t>
    </r>
    <r>
      <rPr>
        <b/>
        <i/>
        <vertAlign val="subscript"/>
        <sz val="11"/>
        <color theme="8"/>
        <rFont val="Arial"/>
        <family val="2"/>
      </rPr>
      <t>M</t>
    </r>
    <r>
      <rPr>
        <b/>
        <sz val="11"/>
        <color theme="8"/>
        <rFont val="Arial"/>
        <family val="2"/>
      </rPr>
      <t xml:space="preserve"> zur Entlastung, bleibt oben</t>
    </r>
  </si>
  <si>
    <t>Gl .15.16</t>
  </si>
  <si>
    <t>Gl. 15.17</t>
  </si>
  <si>
    <t>Gl. 15.18</t>
  </si>
  <si>
    <r>
      <t xml:space="preserve">achtung: </t>
    </r>
    <r>
      <rPr>
        <i/>
        <sz val="11"/>
        <color theme="1"/>
        <rFont val="Arial"/>
        <family val="2"/>
      </rPr>
      <t>b</t>
    </r>
    <r>
      <rPr>
        <sz val="11"/>
        <color theme="1"/>
        <rFont val="Arial"/>
        <family val="2"/>
      </rPr>
      <t xml:space="preserve"> anstelle 0.5</t>
    </r>
    <r>
      <rPr>
        <i/>
        <sz val="11"/>
        <color theme="1"/>
        <rFont val="Arial"/>
        <family val="2"/>
      </rPr>
      <t>b</t>
    </r>
  </si>
  <si>
    <t>Gl. 15.19</t>
  </si>
  <si>
    <t>Gl. 15.20</t>
  </si>
  <si>
    <t>Gl. 15.21</t>
  </si>
  <si>
    <r>
      <t xml:space="preserve">soll zwischen 0.8 und 1 sein, aber </t>
    </r>
    <r>
      <rPr>
        <i/>
        <sz val="11"/>
        <color rgb="FFFF0000"/>
        <rFont val="Arial"/>
        <family val="2"/>
      </rPr>
      <t>a</t>
    </r>
    <r>
      <rPr>
        <sz val="11"/>
        <color rgb="FFFF0000"/>
        <rFont val="Arial"/>
        <family val="2"/>
      </rPr>
      <t xml:space="preserve"> in Gl. 15.16 anders, daher Kriterium fraglich</t>
    </r>
  </si>
  <si>
    <r>
      <t xml:space="preserve">vergleichen mit </t>
    </r>
    <r>
      <rPr>
        <i/>
        <sz val="11"/>
        <color rgb="FFFF0000"/>
        <rFont val="Arial"/>
        <family val="2"/>
      </rPr>
      <t>h</t>
    </r>
    <r>
      <rPr>
        <i/>
        <vertAlign val="subscript"/>
        <sz val="11"/>
        <color rgb="FFFF0000"/>
        <rFont val="Arial"/>
        <family val="2"/>
      </rPr>
      <t>o</t>
    </r>
    <r>
      <rPr>
        <sz val="11"/>
        <color rgb="FFFF0000"/>
        <rFont val="Arial"/>
        <family val="2"/>
      </rPr>
      <t xml:space="preserve"> und </t>
    </r>
    <r>
      <rPr>
        <i/>
        <sz val="11"/>
        <color rgb="FFFF0000"/>
        <rFont val="Arial"/>
        <family val="2"/>
      </rPr>
      <t>T</t>
    </r>
    <r>
      <rPr>
        <i/>
        <vertAlign val="subscript"/>
        <sz val="11"/>
        <color rgb="FFFF0000"/>
        <rFont val="Arial"/>
        <family val="2"/>
      </rPr>
      <t>o</t>
    </r>
    <r>
      <rPr>
        <sz val="11"/>
        <color rgb="FFFF0000"/>
        <rFont val="Arial"/>
        <family val="2"/>
      </rPr>
      <t xml:space="preserve">! Einfluss </t>
    </r>
    <r>
      <rPr>
        <i/>
        <sz val="11"/>
        <color rgb="FFFF0000"/>
        <rFont val="Arial"/>
        <family val="2"/>
      </rPr>
      <t>a</t>
    </r>
    <r>
      <rPr>
        <sz val="11"/>
        <color rgb="FFFF0000"/>
        <rFont val="Arial"/>
        <family val="2"/>
      </rPr>
      <t xml:space="preserve"> in GL. 15.16?</t>
    </r>
  </si>
  <si>
    <r>
      <t>s</t>
    </r>
    <r>
      <rPr>
        <i/>
        <vertAlign val="subscript"/>
        <sz val="11"/>
        <color theme="1"/>
        <rFont val="Arial"/>
        <family val="2"/>
      </rPr>
      <t>1</t>
    </r>
  </si>
  <si>
    <t>statischer Wert</t>
  </si>
  <si>
    <t>Dicke Leitwand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</si>
</sst>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00"/>
    <numFmt numFmtId="166" formatCode="0.0"/>
  </numFmts>
  <fonts count="4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theme="8"/>
      <name val="Arial"/>
      <family val="2"/>
    </font>
    <font>
      <sz val="14"/>
      <color theme="1"/>
      <name val="Arial"/>
      <family val="2"/>
    </font>
    <font>
      <b/>
      <sz val="12"/>
      <color theme="8"/>
      <name val="Arial"/>
      <family val="2"/>
    </font>
    <font>
      <sz val="12"/>
      <color theme="1"/>
      <name val="Arial"/>
      <family val="2"/>
    </font>
    <font>
      <i/>
      <sz val="11"/>
      <color theme="1"/>
      <name val="Arial"/>
      <family val="2"/>
    </font>
    <font>
      <i/>
      <vertAlign val="subscript"/>
      <sz val="11"/>
      <color theme="1"/>
      <name val="Arial"/>
      <family val="2"/>
    </font>
    <font>
      <b/>
      <sz val="11"/>
      <color theme="1"/>
      <name val="Arial"/>
      <family val="2"/>
    </font>
    <font>
      <vertAlign val="superscript"/>
      <sz val="11"/>
      <color theme="1"/>
      <name val="Arial"/>
      <family val="2"/>
    </font>
    <font>
      <b/>
      <sz val="11"/>
      <color rgb="FFFF0000"/>
      <name val="Arial"/>
      <family val="2"/>
    </font>
    <font>
      <b/>
      <i/>
      <sz val="11"/>
      <color rgb="FFFF0000"/>
      <name val="Arial"/>
      <family val="2"/>
    </font>
    <font>
      <b/>
      <i/>
      <sz val="11"/>
      <color theme="1"/>
      <name val="Arial"/>
      <family val="2"/>
    </font>
    <font>
      <b/>
      <i/>
      <vertAlign val="subscript"/>
      <sz val="11"/>
      <color theme="1"/>
      <name val="Arial"/>
      <family val="2"/>
    </font>
    <font>
      <b/>
      <sz val="11"/>
      <color theme="5"/>
      <name val="Arial"/>
      <family val="2"/>
    </font>
    <font>
      <b/>
      <i/>
      <sz val="11"/>
      <color theme="5"/>
      <name val="Arial"/>
      <family val="2"/>
    </font>
    <font>
      <b/>
      <i/>
      <sz val="11"/>
      <name val="Arial"/>
      <family val="2"/>
    </font>
    <font>
      <b/>
      <i/>
      <vertAlign val="subscript"/>
      <sz val="1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vertAlign val="superscript"/>
      <sz val="11"/>
      <name val="Arial"/>
      <family val="2"/>
    </font>
    <font>
      <i/>
      <sz val="11"/>
      <name val="Arial"/>
      <family val="2"/>
    </font>
    <font>
      <i/>
      <vertAlign val="subscript"/>
      <sz val="11"/>
      <name val="Arial"/>
      <family val="2"/>
    </font>
    <font>
      <b/>
      <sz val="11"/>
      <color theme="8"/>
      <name val="Arial"/>
      <family val="2"/>
    </font>
    <font>
      <b/>
      <sz val="12"/>
      <color theme="1"/>
      <name val="Arial"/>
      <family val="2"/>
    </font>
    <font>
      <vertAlign val="subscript"/>
      <sz val="11"/>
      <color theme="1"/>
      <name val="Arial"/>
      <family val="2"/>
    </font>
    <font>
      <sz val="11"/>
      <color theme="9"/>
      <name val="Arial"/>
      <family val="2"/>
    </font>
    <font>
      <b/>
      <sz val="24"/>
      <color theme="8"/>
      <name val="Arial"/>
      <family val="2"/>
    </font>
    <font>
      <sz val="11"/>
      <color theme="8"/>
      <name val="Arial"/>
      <family val="2"/>
    </font>
    <font>
      <sz val="11"/>
      <color theme="5"/>
      <name val="Arial"/>
      <family val="2"/>
    </font>
    <font>
      <i/>
      <sz val="11"/>
      <color theme="8"/>
      <name val="Arial"/>
      <family val="2"/>
    </font>
    <font>
      <i/>
      <vertAlign val="subscript"/>
      <sz val="11"/>
      <color theme="8"/>
      <name val="Arial"/>
      <family val="2"/>
    </font>
    <font>
      <i/>
      <sz val="11"/>
      <color theme="1"/>
      <name val="Aptos Narrow"/>
      <family val="2"/>
    </font>
    <font>
      <b/>
      <i/>
      <vertAlign val="subscript"/>
      <sz val="11"/>
      <color rgb="FFFF0000"/>
      <name val="Arial"/>
      <family val="2"/>
    </font>
    <font>
      <b/>
      <sz val="11"/>
      <color theme="9"/>
      <name val="Arial"/>
      <family val="2"/>
    </font>
    <font>
      <sz val="11"/>
      <color theme="1"/>
      <name val="Aptos Narrow"/>
      <family val="2"/>
    </font>
    <font>
      <b/>
      <i/>
      <sz val="11"/>
      <color theme="9"/>
      <name val="Arial"/>
      <family val="2"/>
    </font>
    <font>
      <b/>
      <i/>
      <vertAlign val="subscript"/>
      <sz val="11"/>
      <color theme="9"/>
      <name val="Arial"/>
      <family val="2"/>
    </font>
    <font>
      <i/>
      <sz val="11"/>
      <color theme="9"/>
      <name val="Arial"/>
      <family val="2"/>
    </font>
    <font>
      <i/>
      <vertAlign val="subscript"/>
      <sz val="11"/>
      <color theme="9"/>
      <name val="Arial"/>
      <family val="2"/>
    </font>
    <font>
      <i/>
      <sz val="11"/>
      <color rgb="FFFF0000"/>
      <name val="Arial"/>
      <family val="2"/>
    </font>
    <font>
      <i/>
      <vertAlign val="subscript"/>
      <sz val="11"/>
      <color rgb="FFFF0000"/>
      <name val="Arial"/>
      <family val="2"/>
    </font>
    <font>
      <sz val="11"/>
      <color rgb="FFFF0000"/>
      <name val="Arial"/>
      <family val="2"/>
    </font>
    <font>
      <sz val="11"/>
      <color theme="1"/>
      <name val="Calibri"/>
      <family val="2"/>
    </font>
    <font>
      <b/>
      <sz val="11"/>
      <color rgb="FFFF0000"/>
      <name val="Aptos Narrow"/>
      <family val="2"/>
    </font>
    <font>
      <b/>
      <i/>
      <sz val="11"/>
      <color theme="8"/>
      <name val="Arial"/>
      <family val="2"/>
    </font>
    <font>
      <b/>
      <i/>
      <vertAlign val="subscript"/>
      <sz val="11"/>
      <color theme="8"/>
      <name val="Arial"/>
      <family val="2"/>
    </font>
    <font>
      <b/>
      <sz val="11"/>
      <color theme="8"/>
      <name val="Aptos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6">
    <xf numFmtId="0" fontId="0" fillId="0" borderId="0" xfId="0"/>
    <xf numFmtId="0" fontId="1" fillId="0" borderId="0" xfId="0" applyFont="1"/>
    <xf numFmtId="0" fontId="3" fillId="2" borderId="1" xfId="0" applyFont="1" applyFill="1" applyBorder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5" fillId="2" borderId="1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right" vertical="center"/>
    </xf>
    <xf numFmtId="0" fontId="1" fillId="2" borderId="0" xfId="0" applyFont="1" applyFill="1" applyAlignment="1">
      <alignment vertical="center"/>
    </xf>
    <xf numFmtId="0" fontId="1" fillId="2" borderId="8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164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1" fillId="0" borderId="6" xfId="0" applyFont="1" applyBorder="1" applyAlignment="1">
      <alignment vertical="center"/>
    </xf>
    <xf numFmtId="16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165" fontId="1" fillId="0" borderId="0" xfId="0" applyNumberFormat="1" applyFont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11" fontId="1" fillId="0" borderId="0" xfId="0" applyNumberFormat="1" applyFont="1" applyAlignment="1">
      <alignment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right" vertical="center"/>
    </xf>
    <xf numFmtId="0" fontId="10" fillId="2" borderId="0" xfId="0" applyFont="1" applyFill="1" applyAlignment="1">
      <alignment horizontal="center" vertical="center"/>
    </xf>
    <xf numFmtId="0" fontId="1" fillId="2" borderId="4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right" vertical="center"/>
    </xf>
    <xf numFmtId="0" fontId="10" fillId="2" borderId="3" xfId="0" applyFont="1" applyFill="1" applyBorder="1" applyAlignment="1">
      <alignment horizontal="center" vertical="center"/>
    </xf>
    <xf numFmtId="2" fontId="1" fillId="2" borderId="4" xfId="0" applyNumberFormat="1" applyFont="1" applyFill="1" applyBorder="1" applyAlignment="1">
      <alignment horizontal="left" vertical="center"/>
    </xf>
    <xf numFmtId="2" fontId="1" fillId="0" borderId="0" xfId="0" applyNumberFormat="1" applyFont="1" applyAlignment="1">
      <alignment horizontal="left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right" vertical="center"/>
    </xf>
    <xf numFmtId="1" fontId="1" fillId="2" borderId="0" xfId="0" applyNumberFormat="1" applyFont="1" applyFill="1" applyAlignment="1">
      <alignment horizontal="center" vertical="center"/>
    </xf>
    <xf numFmtId="0" fontId="1" fillId="2" borderId="8" xfId="0" applyFont="1" applyFill="1" applyBorder="1" applyAlignment="1">
      <alignment horizontal="left" vertical="center"/>
    </xf>
    <xf numFmtId="0" fontId="1" fillId="2" borderId="0" xfId="0" applyFont="1" applyFill="1" applyAlignment="1">
      <alignment horizontal="right" vertical="center"/>
    </xf>
    <xf numFmtId="2" fontId="1" fillId="2" borderId="0" xfId="0" applyNumberFormat="1" applyFont="1" applyFill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2" fillId="2" borderId="6" xfId="0" applyFont="1" applyFill="1" applyBorder="1" applyAlignment="1">
      <alignment horizontal="right" vertical="center"/>
    </xf>
    <xf numFmtId="2" fontId="8" fillId="3" borderId="15" xfId="0" applyNumberFormat="1" applyFont="1" applyFill="1" applyBorder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166" fontId="1" fillId="0" borderId="6" xfId="0" applyNumberFormat="1" applyFont="1" applyBorder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0" fontId="12" fillId="2" borderId="0" xfId="0" applyFont="1" applyFill="1" applyAlignment="1">
      <alignment horizontal="right" vertical="center"/>
    </xf>
    <xf numFmtId="0" fontId="8" fillId="2" borderId="6" xfId="0" applyFont="1" applyFill="1" applyBorder="1" applyAlignment="1">
      <alignment horizontal="right" vertical="center"/>
    </xf>
    <xf numFmtId="2" fontId="8" fillId="2" borderId="8" xfId="0" applyNumberFormat="1" applyFont="1" applyFill="1" applyBorder="1" applyAlignment="1">
      <alignment horizontal="left" vertical="center"/>
    </xf>
    <xf numFmtId="2" fontId="8" fillId="0" borderId="0" xfId="0" applyNumberFormat="1" applyFont="1" applyAlignment="1">
      <alignment horizontal="left" vertical="center"/>
    </xf>
    <xf numFmtId="166" fontId="1" fillId="2" borderId="0" xfId="0" applyNumberFormat="1" applyFont="1" applyFill="1" applyAlignment="1">
      <alignment horizontal="center" vertical="center"/>
    </xf>
    <xf numFmtId="2" fontId="1" fillId="2" borderId="8" xfId="0" applyNumberFormat="1" applyFont="1" applyFill="1" applyBorder="1" applyAlignment="1">
      <alignment horizontal="left" vertical="center"/>
    </xf>
    <xf numFmtId="0" fontId="1" fillId="2" borderId="6" xfId="0" applyFont="1" applyFill="1" applyBorder="1" applyAlignment="1">
      <alignment vertical="center"/>
    </xf>
    <xf numFmtId="0" fontId="1" fillId="2" borderId="12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right" vertical="center"/>
    </xf>
    <xf numFmtId="2" fontId="1" fillId="2" borderId="13" xfId="0" applyNumberFormat="1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vertical="center"/>
    </xf>
    <xf numFmtId="0" fontId="1" fillId="2" borderId="13" xfId="0" applyFont="1" applyFill="1" applyBorder="1" applyAlignment="1">
      <alignment vertical="center"/>
    </xf>
    <xf numFmtId="166" fontId="1" fillId="0" borderId="12" xfId="0" applyNumberFormat="1" applyFont="1" applyBorder="1" applyAlignment="1">
      <alignment horizontal="center" vertical="center"/>
    </xf>
    <xf numFmtId="2" fontId="1" fillId="0" borderId="13" xfId="0" applyNumberFormat="1" applyFont="1" applyBorder="1" applyAlignment="1">
      <alignment horizontal="center" vertical="center"/>
    </xf>
    <xf numFmtId="164" fontId="1" fillId="0" borderId="13" xfId="0" applyNumberFormat="1" applyFont="1" applyBorder="1" applyAlignment="1">
      <alignment horizontal="center" vertical="center"/>
    </xf>
    <xf numFmtId="164" fontId="1" fillId="0" borderId="14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center"/>
    </xf>
    <xf numFmtId="0" fontId="8" fillId="0" borderId="0" xfId="0" applyFont="1"/>
    <xf numFmtId="0" fontId="1" fillId="0" borderId="0" xfId="0" applyFont="1" applyAlignment="1">
      <alignment horizontal="center"/>
    </xf>
    <xf numFmtId="0" fontId="6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0" fontId="6" fillId="0" borderId="6" xfId="0" applyFont="1" applyBorder="1" applyAlignment="1">
      <alignment horizontal="right" vertical="center"/>
    </xf>
    <xf numFmtId="0" fontId="1" fillId="0" borderId="8" xfId="0" applyFont="1" applyBorder="1" applyAlignment="1">
      <alignment vertical="center"/>
    </xf>
    <xf numFmtId="2" fontId="8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164" fontId="8" fillId="3" borderId="11" xfId="0" applyNumberFormat="1" applyFont="1" applyFill="1" applyBorder="1" applyAlignment="1">
      <alignment horizontal="center" vertical="center"/>
    </xf>
    <xf numFmtId="2" fontId="19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right" vertical="center"/>
    </xf>
    <xf numFmtId="0" fontId="19" fillId="2" borderId="6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right" vertical="center"/>
    </xf>
    <xf numFmtId="2" fontId="18" fillId="2" borderId="0" xfId="0" applyNumberFormat="1" applyFont="1" applyFill="1" applyAlignment="1">
      <alignment horizontal="center" vertical="center"/>
    </xf>
    <xf numFmtId="0" fontId="18" fillId="2" borderId="8" xfId="0" applyFont="1" applyFill="1" applyBorder="1" applyAlignment="1">
      <alignment horizontal="left" vertical="center"/>
    </xf>
    <xf numFmtId="0" fontId="19" fillId="2" borderId="0" xfId="0" applyFont="1" applyFill="1" applyAlignment="1">
      <alignment horizontal="right" vertical="center"/>
    </xf>
    <xf numFmtId="0" fontId="21" fillId="2" borderId="0" xfId="0" applyFont="1" applyFill="1" applyAlignment="1">
      <alignment horizontal="right" vertical="center"/>
    </xf>
    <xf numFmtId="0" fontId="19" fillId="2" borderId="8" xfId="0" applyFont="1" applyFill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166" fontId="19" fillId="0" borderId="6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164" fontId="19" fillId="0" borderId="0" xfId="0" applyNumberFormat="1" applyFont="1" applyAlignment="1">
      <alignment horizontal="center" vertical="center"/>
    </xf>
    <xf numFmtId="164" fontId="19" fillId="0" borderId="8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/>
    </xf>
    <xf numFmtId="164" fontId="19" fillId="0" borderId="5" xfId="0" applyNumberFormat="1" applyFont="1" applyBorder="1" applyAlignment="1">
      <alignment horizontal="center" vertical="center"/>
    </xf>
    <xf numFmtId="164" fontId="1" fillId="0" borderId="10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1" fillId="2" borderId="13" xfId="0" applyFont="1" applyFill="1" applyBorder="1" applyAlignment="1">
      <alignment horizontal="center" vertical="center"/>
    </xf>
    <xf numFmtId="2" fontId="14" fillId="0" borderId="0" xfId="0" applyNumberFormat="1" applyFont="1" applyAlignment="1">
      <alignment horizontal="center" vertical="center"/>
    </xf>
    <xf numFmtId="2" fontId="8" fillId="3" borderId="7" xfId="0" applyNumberFormat="1" applyFont="1" applyFill="1" applyBorder="1" applyAlignment="1">
      <alignment horizontal="center" vertical="center"/>
    </xf>
    <xf numFmtId="2" fontId="8" fillId="3" borderId="9" xfId="0" applyNumberFormat="1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164" fontId="8" fillId="3" borderId="16" xfId="0" applyNumberFormat="1" applyFont="1" applyFill="1" applyBorder="1" applyAlignment="1">
      <alignment horizontal="center" vertical="center"/>
    </xf>
    <xf numFmtId="164" fontId="8" fillId="3" borderId="17" xfId="0" applyNumberFormat="1" applyFont="1" applyFill="1" applyBorder="1" applyAlignment="1">
      <alignment horizontal="center" vertical="center"/>
    </xf>
    <xf numFmtId="0" fontId="8" fillId="3" borderId="18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horizontal="center" vertical="center"/>
    </xf>
    <xf numFmtId="0" fontId="8" fillId="3" borderId="21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/>
    </xf>
    <xf numFmtId="0" fontId="1" fillId="2" borderId="12" xfId="0" applyFont="1" applyFill="1" applyBorder="1" applyAlignment="1">
      <alignment horizontal="right" vertical="center"/>
    </xf>
    <xf numFmtId="0" fontId="1" fillId="2" borderId="13" xfId="0" applyFont="1" applyFill="1" applyBorder="1" applyAlignment="1">
      <alignment horizontal="left" vertical="center"/>
    </xf>
    <xf numFmtId="0" fontId="1" fillId="2" borderId="14" xfId="0" applyFont="1" applyFill="1" applyBorder="1" applyAlignment="1">
      <alignment horizontal="left"/>
    </xf>
    <xf numFmtId="0" fontId="1" fillId="2" borderId="8" xfId="0" applyFont="1" applyFill="1" applyBorder="1" applyAlignment="1">
      <alignment horizontal="left"/>
    </xf>
    <xf numFmtId="0" fontId="1" fillId="2" borderId="0" xfId="0" applyFont="1" applyFill="1"/>
    <xf numFmtId="0" fontId="8" fillId="2" borderId="0" xfId="0" applyFont="1" applyFill="1" applyAlignment="1">
      <alignment horizontal="center" vertical="center"/>
    </xf>
    <xf numFmtId="2" fontId="1" fillId="2" borderId="2" xfId="0" applyNumberFormat="1" applyFont="1" applyFill="1" applyBorder="1" applyAlignment="1">
      <alignment horizontal="center" vertical="center"/>
    </xf>
    <xf numFmtId="2" fontId="1" fillId="2" borderId="4" xfId="0" applyNumberFormat="1" applyFont="1" applyFill="1" applyBorder="1" applyAlignment="1">
      <alignment horizontal="center" vertical="center"/>
    </xf>
    <xf numFmtId="0" fontId="26" fillId="2" borderId="12" xfId="0" applyFont="1" applyFill="1" applyBorder="1" applyAlignment="1">
      <alignment horizontal="center" vertical="center"/>
    </xf>
    <xf numFmtId="0" fontId="26" fillId="2" borderId="1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/>
    </xf>
    <xf numFmtId="2" fontId="23" fillId="2" borderId="0" xfId="0" applyNumberFormat="1" applyFont="1" applyFill="1" applyAlignment="1">
      <alignment horizontal="center" vertical="center"/>
    </xf>
    <xf numFmtId="0" fontId="1" fillId="2" borderId="8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right" vertical="center"/>
    </xf>
    <xf numFmtId="0" fontId="29" fillId="2" borderId="4" xfId="0" applyFont="1" applyFill="1" applyBorder="1" applyAlignment="1">
      <alignment horizontal="left" vertical="center"/>
    </xf>
    <xf numFmtId="0" fontId="29" fillId="2" borderId="8" xfId="0" applyFont="1" applyFill="1" applyBorder="1" applyAlignment="1">
      <alignment horizontal="left" vertical="center"/>
    </xf>
    <xf numFmtId="0" fontId="29" fillId="2" borderId="14" xfId="0" applyFont="1" applyFill="1" applyBorder="1" applyAlignment="1">
      <alignment horizontal="left" vertical="center"/>
    </xf>
    <xf numFmtId="2" fontId="19" fillId="2" borderId="0" xfId="0" applyNumberFormat="1" applyFont="1" applyFill="1" applyAlignment="1">
      <alignment horizontal="center" vertical="center"/>
    </xf>
    <xf numFmtId="0" fontId="1" fillId="2" borderId="14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right"/>
    </xf>
    <xf numFmtId="2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8" xfId="0" applyFont="1" applyFill="1" applyBorder="1"/>
    <xf numFmtId="0" fontId="6" fillId="2" borderId="12" xfId="0" applyFont="1" applyFill="1" applyBorder="1" applyAlignment="1">
      <alignment horizontal="right"/>
    </xf>
    <xf numFmtId="2" fontId="1" fillId="2" borderId="13" xfId="0" applyNumberFormat="1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24" xfId="0" applyFont="1" applyFill="1" applyBorder="1" applyAlignment="1">
      <alignment horizontal="center" vertical="center"/>
    </xf>
    <xf numFmtId="2" fontId="1" fillId="2" borderId="13" xfId="0" applyNumberFormat="1" applyFont="1" applyFill="1" applyBorder="1" applyAlignment="1">
      <alignment horizontal="left" vertical="center"/>
    </xf>
    <xf numFmtId="0" fontId="28" fillId="2" borderId="24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2" fillId="0" borderId="0" xfId="0" applyFont="1" applyAlignment="1">
      <alignment horizontal="right" vertical="center"/>
    </xf>
    <xf numFmtId="0" fontId="8" fillId="3" borderId="7" xfId="0" applyFont="1" applyFill="1" applyBorder="1" applyAlignment="1">
      <alignment horizontal="center" vertical="center"/>
    </xf>
    <xf numFmtId="2" fontId="8" fillId="3" borderId="11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vertical="center"/>
    </xf>
    <xf numFmtId="0" fontId="15" fillId="0" borderId="0" xfId="0" applyFont="1" applyAlignment="1">
      <alignment horizontal="right" vertical="center"/>
    </xf>
    <xf numFmtId="0" fontId="11" fillId="2" borderId="2" xfId="0" applyFont="1" applyFill="1" applyBorder="1" applyAlignment="1">
      <alignment horizontal="right" vertical="center"/>
    </xf>
    <xf numFmtId="0" fontId="28" fillId="0" borderId="0" xfId="0" applyFont="1" applyAlignment="1">
      <alignment horizontal="left" vertical="center"/>
    </xf>
    <xf numFmtId="0" fontId="28" fillId="0" borderId="0" xfId="0" applyFont="1" applyAlignment="1">
      <alignment vertical="center"/>
    </xf>
    <xf numFmtId="0" fontId="18" fillId="0" borderId="0" xfId="0" applyFont="1" applyAlignment="1">
      <alignment horizontal="left" vertical="center"/>
    </xf>
    <xf numFmtId="0" fontId="19" fillId="2" borderId="8" xfId="0" applyFont="1" applyFill="1" applyBorder="1" applyAlignment="1">
      <alignment vertical="center"/>
    </xf>
    <xf numFmtId="0" fontId="19" fillId="2" borderId="14" xfId="0" applyFont="1" applyFill="1" applyBorder="1" applyAlignment="1">
      <alignment vertical="center"/>
    </xf>
    <xf numFmtId="0" fontId="2" fillId="0" borderId="0" xfId="0" applyFont="1"/>
    <xf numFmtId="0" fontId="8" fillId="2" borderId="2" xfId="0" applyFont="1" applyFill="1" applyBorder="1" applyAlignment="1">
      <alignment vertical="center" wrapText="1"/>
    </xf>
    <xf numFmtId="164" fontId="8" fillId="3" borderId="9" xfId="0" applyNumberFormat="1" applyFont="1" applyFill="1" applyBorder="1" applyAlignment="1">
      <alignment horizontal="center" vertical="center"/>
    </xf>
    <xf numFmtId="2" fontId="18" fillId="3" borderId="11" xfId="0" applyNumberFormat="1" applyFont="1" applyFill="1" applyBorder="1" applyAlignment="1">
      <alignment horizontal="center" vertical="center"/>
    </xf>
    <xf numFmtId="2" fontId="19" fillId="2" borderId="13" xfId="0" applyNumberFormat="1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left" vertical="center"/>
    </xf>
    <xf numFmtId="0" fontId="21" fillId="2" borderId="13" xfId="0" applyFont="1" applyFill="1" applyBorder="1" applyAlignment="1">
      <alignment horizontal="right" vertical="center"/>
    </xf>
    <xf numFmtId="0" fontId="21" fillId="0" borderId="0" xfId="0" applyFont="1" applyAlignment="1">
      <alignment horizontal="right" vertical="center"/>
    </xf>
    <xf numFmtId="0" fontId="1" fillId="0" borderId="12" xfId="0" applyFont="1" applyBorder="1" applyAlignment="1">
      <alignment vertical="center"/>
    </xf>
    <xf numFmtId="0" fontId="1" fillId="0" borderId="3" xfId="0" applyFont="1" applyBorder="1" applyAlignment="1">
      <alignment horizontal="right" vertical="center"/>
    </xf>
    <xf numFmtId="0" fontId="1" fillId="4" borderId="4" xfId="0" applyFont="1" applyFill="1" applyBorder="1" applyAlignment="1">
      <alignment vertical="center"/>
    </xf>
    <xf numFmtId="0" fontId="1" fillId="4" borderId="8" xfId="0" applyFont="1" applyFill="1" applyBorder="1" applyAlignment="1">
      <alignment vertical="center"/>
    </xf>
    <xf numFmtId="0" fontId="1" fillId="0" borderId="6" xfId="0" applyFont="1" applyBorder="1" applyAlignment="1">
      <alignment vertical="center" wrapText="1"/>
    </xf>
    <xf numFmtId="0" fontId="1" fillId="0" borderId="13" xfId="0" applyFont="1" applyBorder="1" applyAlignment="1">
      <alignment horizontal="right" vertical="center"/>
    </xf>
    <xf numFmtId="0" fontId="1" fillId="2" borderId="22" xfId="0" applyFont="1" applyFill="1" applyBorder="1" applyAlignment="1">
      <alignment horizontal="center" vertical="center"/>
    </xf>
    <xf numFmtId="2" fontId="1" fillId="2" borderId="5" xfId="0" applyNumberFormat="1" applyFont="1" applyFill="1" applyBorder="1" applyAlignment="1">
      <alignment horizontal="center" vertical="center"/>
    </xf>
    <xf numFmtId="2" fontId="19" fillId="2" borderId="5" xfId="0" applyNumberFormat="1" applyFont="1" applyFill="1" applyBorder="1" applyAlignment="1">
      <alignment horizontal="center" vertical="center"/>
    </xf>
    <xf numFmtId="164" fontId="34" fillId="5" borderId="15" xfId="0" applyNumberFormat="1" applyFont="1" applyFill="1" applyBorder="1" applyAlignment="1">
      <alignment horizontal="center" vertical="center"/>
    </xf>
    <xf numFmtId="2" fontId="1" fillId="2" borderId="10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7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23" fillId="2" borderId="23" xfId="0" applyFont="1" applyFill="1" applyBorder="1" applyAlignment="1">
      <alignment vertical="center"/>
    </xf>
    <xf numFmtId="0" fontId="1" fillId="2" borderId="24" xfId="0" applyFont="1" applyFill="1" applyBorder="1" applyAlignment="1">
      <alignment horizontal="right" vertical="center"/>
    </xf>
    <xf numFmtId="0" fontId="1" fillId="2" borderId="24" xfId="0" applyFont="1" applyFill="1" applyBorder="1" applyAlignment="1">
      <alignment vertical="center"/>
    </xf>
    <xf numFmtId="0" fontId="1" fillId="2" borderId="25" xfId="0" applyFont="1" applyFill="1" applyBorder="1" applyAlignment="1">
      <alignment vertical="center"/>
    </xf>
    <xf numFmtId="0" fontId="8" fillId="2" borderId="6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2" fontId="6" fillId="2" borderId="13" xfId="0" applyNumberFormat="1" applyFont="1" applyFill="1" applyBorder="1" applyAlignment="1">
      <alignment horizontal="right" vertical="center"/>
    </xf>
    <xf numFmtId="2" fontId="1" fillId="2" borderId="13" xfId="0" applyNumberFormat="1" applyFont="1" applyFill="1" applyBorder="1" applyAlignment="1">
      <alignment horizontal="right" vertical="center"/>
    </xf>
    <xf numFmtId="0" fontId="28" fillId="2" borderId="24" xfId="0" applyFont="1" applyFill="1" applyBorder="1" applyAlignment="1">
      <alignment horizontal="right" vertical="center"/>
    </xf>
    <xf numFmtId="0" fontId="28" fillId="2" borderId="24" xfId="0" applyFont="1" applyFill="1" applyBorder="1" applyAlignment="1">
      <alignment vertical="center"/>
    </xf>
    <xf numFmtId="0" fontId="28" fillId="2" borderId="25" xfId="0" applyFont="1" applyFill="1" applyBorder="1" applyAlignment="1">
      <alignment vertical="center"/>
    </xf>
    <xf numFmtId="2" fontId="6" fillId="2" borderId="0" xfId="0" applyNumberFormat="1" applyFont="1" applyFill="1" applyAlignment="1">
      <alignment horizontal="right" vertical="center"/>
    </xf>
    <xf numFmtId="2" fontId="8" fillId="0" borderId="0" xfId="0" applyNumberFormat="1" applyFont="1" applyAlignment="1">
      <alignment horizontal="right" vertical="center"/>
    </xf>
    <xf numFmtId="0" fontId="6" fillId="2" borderId="3" xfId="0" applyFont="1" applyFill="1" applyBorder="1" applyAlignment="1">
      <alignment horizontal="right" vertical="center"/>
    </xf>
    <xf numFmtId="0" fontId="28" fillId="2" borderId="6" xfId="0" applyFont="1" applyFill="1" applyBorder="1" applyAlignment="1">
      <alignment vertical="center"/>
    </xf>
    <xf numFmtId="0" fontId="36" fillId="2" borderId="0" xfId="0" applyFont="1" applyFill="1" applyAlignment="1">
      <alignment horizontal="right" vertical="center"/>
    </xf>
    <xf numFmtId="0" fontId="23" fillId="2" borderId="8" xfId="0" applyFont="1" applyFill="1" applyBorder="1" applyAlignment="1">
      <alignment vertical="center"/>
    </xf>
    <xf numFmtId="164" fontId="8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right" vertical="center"/>
    </xf>
    <xf numFmtId="164" fontId="1" fillId="0" borderId="0" xfId="0" applyNumberFormat="1" applyFont="1" applyAlignment="1">
      <alignment vertical="center"/>
    </xf>
    <xf numFmtId="0" fontId="1" fillId="0" borderId="14" xfId="0" applyFont="1" applyBorder="1" applyAlignment="1">
      <alignment vertical="center"/>
    </xf>
    <xf numFmtId="2" fontId="1" fillId="0" borderId="6" xfId="0" applyNumberFormat="1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center" vertical="center"/>
    </xf>
    <xf numFmtId="2" fontId="1" fillId="0" borderId="12" xfId="0" applyNumberFormat="1" applyFont="1" applyBorder="1" applyAlignment="1">
      <alignment horizontal="center" vertical="center"/>
    </xf>
    <xf numFmtId="2" fontId="1" fillId="0" borderId="14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 vertical="center"/>
    </xf>
    <xf numFmtId="2" fontId="8" fillId="2" borderId="5" xfId="0" applyNumberFormat="1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left" vertical="center" wrapText="1"/>
    </xf>
    <xf numFmtId="0" fontId="28" fillId="2" borderId="3" xfId="0" applyFont="1" applyFill="1" applyBorder="1" applyAlignment="1">
      <alignment vertical="center"/>
    </xf>
    <xf numFmtId="0" fontId="28" fillId="2" borderId="4" xfId="0" applyFont="1" applyFill="1" applyBorder="1" applyAlignment="1">
      <alignment vertical="center"/>
    </xf>
    <xf numFmtId="0" fontId="1" fillId="4" borderId="14" xfId="0" applyFont="1" applyFill="1" applyBorder="1" applyAlignment="1">
      <alignment vertical="center"/>
    </xf>
    <xf numFmtId="0" fontId="6" fillId="2" borderId="13" xfId="0" applyFont="1" applyFill="1" applyBorder="1" applyAlignment="1">
      <alignment horizontal="right" vertical="center"/>
    </xf>
    <xf numFmtId="0" fontId="8" fillId="2" borderId="2" xfId="0" applyFont="1" applyFill="1" applyBorder="1" applyAlignment="1">
      <alignment vertical="center"/>
    </xf>
    <xf numFmtId="164" fontId="8" fillId="3" borderId="15" xfId="0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left" vertical="center"/>
    </xf>
    <xf numFmtId="0" fontId="19" fillId="2" borderId="12" xfId="0" applyFont="1" applyFill="1" applyBorder="1" applyAlignment="1">
      <alignment vertical="center"/>
    </xf>
    <xf numFmtId="164" fontId="19" fillId="2" borderId="13" xfId="0" applyNumberFormat="1" applyFont="1" applyFill="1" applyBorder="1" applyAlignment="1">
      <alignment horizontal="center" vertical="center"/>
    </xf>
    <xf numFmtId="0" fontId="42" fillId="0" borderId="0" xfId="0" applyFont="1" applyAlignment="1">
      <alignment vertical="center"/>
    </xf>
    <xf numFmtId="2" fontId="1" fillId="0" borderId="10" xfId="0" applyNumberFormat="1" applyFont="1" applyBorder="1" applyAlignment="1">
      <alignment horizontal="center" vertical="center"/>
    </xf>
    <xf numFmtId="0" fontId="8" fillId="2" borderId="23" xfId="0" applyFont="1" applyFill="1" applyBorder="1" applyAlignment="1">
      <alignment vertical="center"/>
    </xf>
    <xf numFmtId="2" fontId="26" fillId="2" borderId="0" xfId="0" applyNumberFormat="1" applyFont="1" applyFill="1" applyAlignment="1">
      <alignment horizontal="center" vertical="center"/>
    </xf>
    <xf numFmtId="0" fontId="38" fillId="2" borderId="13" xfId="0" applyFont="1" applyFill="1" applyBorder="1" applyAlignment="1">
      <alignment horizontal="right" vertical="center"/>
    </xf>
    <xf numFmtId="164" fontId="26" fillId="2" borderId="13" xfId="0" applyNumberFormat="1" applyFont="1" applyFill="1" applyBorder="1" applyAlignment="1">
      <alignment horizontal="center" vertical="center"/>
    </xf>
    <xf numFmtId="0" fontId="26" fillId="2" borderId="14" xfId="0" applyFont="1" applyFill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164" fontId="1" fillId="0" borderId="12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42" fillId="0" borderId="0" xfId="0" applyFont="1" applyAlignment="1">
      <alignment horizontal="left" vertical="center"/>
    </xf>
    <xf numFmtId="0" fontId="23" fillId="2" borderId="2" xfId="0" applyFont="1" applyFill="1" applyBorder="1"/>
    <xf numFmtId="0" fontId="23" fillId="0" borderId="0" xfId="0" applyFont="1" applyAlignment="1">
      <alignment horizontal="left" vertical="center"/>
    </xf>
    <xf numFmtId="0" fontId="1" fillId="2" borderId="8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1" fillId="2" borderId="2" xfId="0" applyFont="1" applyFill="1" applyBorder="1" applyAlignment="1">
      <alignment horizontal="left" vertical="center"/>
    </xf>
    <xf numFmtId="0" fontId="8" fillId="3" borderId="15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2" fontId="8" fillId="3" borderId="26" xfId="0" applyNumberFormat="1" applyFont="1" applyFill="1" applyBorder="1" applyAlignment="1">
      <alignment horizontal="center" vertical="center"/>
    </xf>
    <xf numFmtId="0" fontId="8" fillId="2" borderId="8" xfId="0" applyFont="1" applyFill="1" applyBorder="1" applyAlignment="1">
      <alignment vertical="center"/>
    </xf>
    <xf numFmtId="0" fontId="12" fillId="2" borderId="12" xfId="0" applyFont="1" applyFill="1" applyBorder="1" applyAlignment="1">
      <alignment horizontal="right" vertical="center"/>
    </xf>
    <xf numFmtId="0" fontId="8" fillId="2" borderId="14" xfId="0" applyFont="1" applyFill="1" applyBorder="1" applyAlignment="1">
      <alignment vertical="center"/>
    </xf>
    <xf numFmtId="0" fontId="32" fillId="2" borderId="12" xfId="0" applyFont="1" applyFill="1" applyBorder="1" applyAlignment="1">
      <alignment horizontal="right" vertical="center"/>
    </xf>
    <xf numFmtId="2" fontId="14" fillId="4" borderId="3" xfId="0" applyNumberFormat="1" applyFont="1" applyFill="1" applyBorder="1" applyAlignment="1">
      <alignment horizontal="center" vertical="center"/>
    </xf>
    <xf numFmtId="2" fontId="14" fillId="4" borderId="0" xfId="0" applyNumberFormat="1" applyFont="1" applyFill="1" applyAlignment="1">
      <alignment horizontal="center" vertical="center"/>
    </xf>
    <xf numFmtId="2" fontId="14" fillId="4" borderId="13" xfId="0" applyNumberFormat="1" applyFont="1" applyFill="1" applyBorder="1" applyAlignment="1">
      <alignment horizontal="center" vertical="center"/>
    </xf>
    <xf numFmtId="2" fontId="18" fillId="0" borderId="0" xfId="0" applyNumberFormat="1" applyFont="1" applyAlignment="1">
      <alignment horizontal="center" vertical="center"/>
    </xf>
    <xf numFmtId="2" fontId="18" fillId="3" borderId="15" xfId="0" applyNumberFormat="1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/>
    </xf>
    <xf numFmtId="1" fontId="8" fillId="3" borderId="15" xfId="0" applyNumberFormat="1" applyFont="1" applyFill="1" applyBorder="1" applyAlignment="1">
      <alignment horizontal="center" vertical="center"/>
    </xf>
    <xf numFmtId="2" fontId="42" fillId="0" borderId="0" xfId="0" applyNumberFormat="1" applyFont="1" applyAlignment="1">
      <alignment horizontal="center" vertical="center"/>
    </xf>
    <xf numFmtId="0" fontId="24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166" fontId="42" fillId="0" borderId="0" xfId="0" applyNumberFormat="1" applyFont="1" applyAlignment="1">
      <alignment horizontal="center" vertical="center"/>
    </xf>
    <xf numFmtId="2" fontId="1" fillId="0" borderId="0" xfId="0" applyNumberFormat="1" applyFont="1" applyAlignment="1">
      <alignment horizontal="right" vertical="center"/>
    </xf>
    <xf numFmtId="0" fontId="6" fillId="0" borderId="2" xfId="0" applyFont="1" applyBorder="1" applyAlignment="1">
      <alignment horizontal="right" vertical="center"/>
    </xf>
    <xf numFmtId="0" fontId="1" fillId="0" borderId="4" xfId="0" applyFont="1" applyBorder="1" applyAlignment="1">
      <alignment vertical="center"/>
    </xf>
    <xf numFmtId="0" fontId="6" fillId="0" borderId="12" xfId="0" applyFont="1" applyBorder="1" applyAlignment="1">
      <alignment horizontal="right" vertical="center"/>
    </xf>
    <xf numFmtId="2" fontId="1" fillId="0" borderId="0" xfId="0" applyNumberFormat="1" applyFont="1" applyAlignment="1">
      <alignment vertical="center"/>
    </xf>
    <xf numFmtId="1" fontId="42" fillId="0" borderId="0" xfId="0" applyNumberFormat="1" applyFont="1" applyAlignment="1">
      <alignment horizontal="center" vertical="center"/>
    </xf>
    <xf numFmtId="0" fontId="18" fillId="3" borderId="9" xfId="0" applyFont="1" applyFill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2" fontId="1" fillId="0" borderId="0" xfId="0" applyNumberFormat="1" applyFont="1" applyAlignment="1">
      <alignment horizontal="center" vertical="center" wrapText="1"/>
    </xf>
    <xf numFmtId="2" fontId="1" fillId="0" borderId="8" xfId="0" applyNumberFormat="1" applyFont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left"/>
    </xf>
    <xf numFmtId="0" fontId="23" fillId="2" borderId="3" xfId="0" applyFont="1" applyFill="1" applyBorder="1" applyAlignment="1">
      <alignment horizontal="left"/>
    </xf>
    <xf numFmtId="0" fontId="23" fillId="2" borderId="4" xfId="0" applyFont="1" applyFill="1" applyBorder="1" applyAlignment="1">
      <alignment horizontal="left"/>
    </xf>
    <xf numFmtId="0" fontId="1" fillId="2" borderId="12" xfId="0" applyFont="1" applyFill="1" applyBorder="1" applyAlignment="1">
      <alignment horizontal="left"/>
    </xf>
    <xf numFmtId="0" fontId="1" fillId="2" borderId="13" xfId="0" applyFont="1" applyFill="1" applyBorder="1" applyAlignment="1">
      <alignment horizontal="left"/>
    </xf>
    <xf numFmtId="0" fontId="1" fillId="2" borderId="14" xfId="0" applyFont="1" applyFill="1" applyBorder="1" applyAlignment="1">
      <alignment horizontal="left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left"/>
    </xf>
    <xf numFmtId="0" fontId="1" fillId="2" borderId="8" xfId="0" applyFont="1" applyFill="1" applyBorder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28" fillId="2" borderId="3" xfId="0" applyFont="1" applyFill="1" applyBorder="1" applyAlignment="1">
      <alignment horizontal="right" vertical="center"/>
    </xf>
    <xf numFmtId="0" fontId="28" fillId="2" borderId="4" xfId="0" applyFont="1" applyFill="1" applyBorder="1" applyAlignment="1">
      <alignment horizontal="right" vertical="center"/>
    </xf>
    <xf numFmtId="0" fontId="23" fillId="2" borderId="23" xfId="0" applyFont="1" applyFill="1" applyBorder="1" applyAlignment="1">
      <alignment horizontal="left" vertical="center" wrapText="1"/>
    </xf>
    <xf numFmtId="0" fontId="23" fillId="2" borderId="24" xfId="0" applyFont="1" applyFill="1" applyBorder="1" applyAlignment="1">
      <alignment horizontal="left" vertical="center" wrapText="1"/>
    </xf>
    <xf numFmtId="0" fontId="23" fillId="2" borderId="25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center" vertical="center"/>
    </xf>
    <xf numFmtId="2" fontId="10" fillId="2" borderId="0" xfId="0" applyNumberFormat="1" applyFont="1" applyFill="1" applyAlignment="1">
      <alignment horizontal="center" vertical="center"/>
    </xf>
    <xf numFmtId="2" fontId="10" fillId="2" borderId="8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23" fillId="2" borderId="23" xfId="0" applyFont="1" applyFill="1" applyBorder="1" applyAlignment="1">
      <alignment horizontal="center" vertical="center" wrapText="1"/>
    </xf>
    <xf numFmtId="0" fontId="23" fillId="2" borderId="24" xfId="0" applyFont="1" applyFill="1" applyBorder="1" applyAlignment="1">
      <alignment horizontal="center" vertical="center" wrapText="1"/>
    </xf>
    <xf numFmtId="0" fontId="23" fillId="2" borderId="2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10" fillId="0" borderId="23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23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2"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907069895012071"/>
          <c:y val="4.0616905928640548E-2"/>
          <c:w val="0.78441077895018052"/>
          <c:h val="0.87305015403681496"/>
        </c:manualLayout>
      </c:layout>
      <c:scatterChart>
        <c:scatterStyle val="lineMarker"/>
        <c:varyColors val="0"/>
        <c:ser>
          <c:idx val="0"/>
          <c:order val="0"/>
          <c:tx>
            <c:strRef>
              <c:f>Rohrhydraulik!$AD$3</c:f>
              <c:strCache>
                <c:ptCount val="1"/>
                <c:pt idx="0">
                  <c:v>Strickler (Normalabfluss, hydr. raues Regime)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Rohrhydraulik!$AD$12:$AD$372</c:f>
              <c:numCache>
                <c:formatCode>0.000</c:formatCode>
                <c:ptCount val="36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</c:numCache>
            </c:numRef>
          </c:xVal>
          <c:yVal>
            <c:numRef>
              <c:f>Rohrhydraulik!$AB$12:$AB$372</c:f>
              <c:numCache>
                <c:formatCode>0.000</c:formatCode>
                <c:ptCount val="36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0D5-4C9D-907F-D3750F6DE3F2}"/>
            </c:ext>
          </c:extLst>
        </c:ser>
        <c:ser>
          <c:idx val="1"/>
          <c:order val="1"/>
          <c:tx>
            <c:strRef>
              <c:f>Rohrhydraulik!$AE$3</c:f>
              <c:strCache>
                <c:ptCount val="1"/>
                <c:pt idx="0">
                  <c:v>Colebrook-White, Darcy-Weisbach, Franke (Normalabfluss)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Rohrhydraulik!$AF$12:$AF$372</c:f>
              <c:numCache>
                <c:formatCode>0.000</c:formatCode>
                <c:ptCount val="36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</c:numCache>
            </c:numRef>
          </c:xVal>
          <c:yVal>
            <c:numRef>
              <c:f>Rohrhydraulik!$AB$12:$AB$372</c:f>
              <c:numCache>
                <c:formatCode>0.000</c:formatCode>
                <c:ptCount val="36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0D5-4C9D-907F-D3750F6DE3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84449999"/>
        <c:axId val="1884452495"/>
      </c:scatterChart>
      <c:valAx>
        <c:axId val="1884449999"/>
        <c:scaling>
          <c:orientation val="minMax"/>
          <c:max val="1.2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de-CH" i="1"/>
                  <a:t>Q</a:t>
                </a:r>
                <a:r>
                  <a:rPr lang="de-CH"/>
                  <a:t>/</a:t>
                </a:r>
                <a:r>
                  <a:rPr lang="de-CH" i="1"/>
                  <a:t>Q</a:t>
                </a:r>
                <a:r>
                  <a:rPr lang="de-CH" i="1" baseline="-25000"/>
                  <a:t>V</a:t>
                </a:r>
              </a:p>
            </c:rich>
          </c:tx>
          <c:layout>
            <c:manualLayout>
              <c:xMode val="edge"/>
              <c:yMode val="edge"/>
              <c:x val="0.81421067250049095"/>
              <c:y val="0.843857931914467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884452495"/>
        <c:crosses val="autoZero"/>
        <c:crossBetween val="midCat"/>
      </c:valAx>
      <c:valAx>
        <c:axId val="1884452495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i="1"/>
                  <a:t>y</a:t>
                </a:r>
                <a:r>
                  <a:rPr lang="en-US"/>
                  <a:t>/</a:t>
                </a:r>
                <a:r>
                  <a:rPr lang="en-US" i="1"/>
                  <a:t>d</a:t>
                </a:r>
                <a:r>
                  <a:rPr lang="en-US" i="1" baseline="-25000"/>
                  <a:t>i</a:t>
                </a:r>
              </a:p>
            </c:rich>
          </c:tx>
          <c:layout>
            <c:manualLayout>
              <c:xMode val="edge"/>
              <c:yMode val="edge"/>
              <c:x val="0.15615790980556379"/>
              <c:y val="5.6702744007406103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88444999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3437817231143189"/>
          <c:y val="0.53649787363647639"/>
          <c:w val="0.48252254772948855"/>
          <c:h val="0.285463405729849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39341715641027"/>
          <c:y val="4.0616905928640548E-2"/>
          <c:w val="0.80023526422104529"/>
          <c:h val="0.87305015403681496"/>
        </c:manualLayout>
      </c:layout>
      <c:scatterChart>
        <c:scatterStyle val="lineMarker"/>
        <c:varyColors val="0"/>
        <c:ser>
          <c:idx val="0"/>
          <c:order val="0"/>
          <c:tx>
            <c:strRef>
              <c:f>Rohrhydraulik!$AD$3</c:f>
              <c:strCache>
                <c:ptCount val="1"/>
                <c:pt idx="0">
                  <c:v>Strickler (Normalabfluss, hydr. raues Regime)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Rohrhydraulik!$AG$12:$AG$372</c:f>
              <c:numCache>
                <c:formatCode>0.000</c:formatCode>
                <c:ptCount val="36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</c:numCache>
            </c:numRef>
          </c:xVal>
          <c:yVal>
            <c:numRef>
              <c:f>Rohrhydraulik!$Z$12:$Z$372</c:f>
              <c:numCache>
                <c:formatCode>0.00</c:formatCode>
                <c:ptCount val="36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257-4579-AD6A-5D100384C221}"/>
            </c:ext>
          </c:extLst>
        </c:ser>
        <c:ser>
          <c:idx val="1"/>
          <c:order val="1"/>
          <c:tx>
            <c:strRef>
              <c:f>Rohrhydraulik!$AE$3</c:f>
              <c:strCache>
                <c:ptCount val="1"/>
                <c:pt idx="0">
                  <c:v>Colebrook-White, Darcy-Weisbach, Franke (Normalabfluss)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Rohrhydraulik!$AH$12:$AH$372</c:f>
              <c:numCache>
                <c:formatCode>0.000</c:formatCode>
                <c:ptCount val="36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</c:numCache>
            </c:numRef>
          </c:xVal>
          <c:yVal>
            <c:numRef>
              <c:f>Rohrhydraulik!$Z$12:$Z$372</c:f>
              <c:numCache>
                <c:formatCode>0.00</c:formatCode>
                <c:ptCount val="36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257-4579-AD6A-5D100384C2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84449999"/>
        <c:axId val="1884452495"/>
      </c:scatterChart>
      <c:valAx>
        <c:axId val="1884449999"/>
        <c:scaling>
          <c:orientation val="minMax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de-CH" i="1"/>
                  <a:t>Q </a:t>
                </a:r>
                <a:r>
                  <a:rPr lang="de-CH" i="0"/>
                  <a:t>[m</a:t>
                </a:r>
                <a:r>
                  <a:rPr lang="de-CH" i="0" baseline="30000"/>
                  <a:t>3</a:t>
                </a:r>
                <a:r>
                  <a:rPr lang="de-CH" i="0"/>
                  <a:t>/s]</a:t>
                </a:r>
                <a:endParaRPr lang="de-CH" i="0" baseline="-25000"/>
              </a:p>
            </c:rich>
          </c:tx>
          <c:layout>
            <c:manualLayout>
              <c:xMode val="edge"/>
              <c:yMode val="edge"/>
              <c:x val="0.77711230071492265"/>
              <c:y val="0.853253904075755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884452495"/>
        <c:crosses val="autoZero"/>
        <c:crossBetween val="midCat"/>
      </c:valAx>
      <c:valAx>
        <c:axId val="1884452495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i="1"/>
                  <a:t>y</a:t>
                </a:r>
                <a:r>
                  <a:rPr lang="en-US" i="0"/>
                  <a:t> [m]</a:t>
                </a:r>
              </a:p>
            </c:rich>
          </c:tx>
          <c:layout>
            <c:manualLayout>
              <c:xMode val="edge"/>
              <c:yMode val="edge"/>
              <c:x val="0.14288545001371714"/>
              <c:y val="5.073257756177728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88444999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7641883585564171"/>
          <c:y val="0.4691409191155903"/>
          <c:w val="0.43960698349742855"/>
          <c:h val="0.279824243099242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279231468862364"/>
          <c:y val="0.1382532117915749"/>
          <c:w val="0.86339054260685655"/>
          <c:h val="0.80610190173596719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107950">
                <a:solidFill>
                  <a:schemeClr val="accent1"/>
                </a:solidFill>
              </a:ln>
              <a:effectLst/>
            </c:spPr>
          </c:marker>
          <c:dPt>
            <c:idx val="0"/>
            <c:marker>
              <c:symbol val="circle"/>
              <c:size val="5"/>
              <c:spPr>
                <a:solidFill>
                  <a:schemeClr val="accent1"/>
                </a:solidFill>
                <a:ln w="107950">
                  <a:solidFill>
                    <a:schemeClr val="accent2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0103-467C-9275-2F9C5ACADBD7}"/>
              </c:ext>
            </c:extLst>
          </c:dPt>
          <c:xVal>
            <c:numRef>
              <c:f>'Vereinigung schiessend'!$B$19</c:f>
              <c:numCache>
                <c:formatCode>0.00</c:formatCode>
                <c:ptCount val="1"/>
                <c:pt idx="0">
                  <c:v>0</c:v>
                </c:pt>
              </c:numCache>
            </c:numRef>
          </c:xVal>
          <c:yVal>
            <c:numRef>
              <c:f>'Vereinigung schiessend'!$C$19</c:f>
              <c:numCache>
                <c:formatCode>0.00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3C2-49F7-8C4E-C6F6EF0374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31242319"/>
        <c:axId val="1531250271"/>
      </c:scatterChart>
      <c:valAx>
        <c:axId val="1331242319"/>
        <c:scaling>
          <c:orientation val="minMax"/>
          <c:max val="3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31250271"/>
        <c:crosses val="autoZero"/>
        <c:crossBetween val="midCat"/>
      </c:valAx>
      <c:valAx>
        <c:axId val="1531250271"/>
        <c:scaling>
          <c:orientation val="minMax"/>
          <c:max val="1.2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3124231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129296775401416"/>
          <c:y val="3.0269158561834764E-2"/>
          <c:w val="0.84751542837682126"/>
          <c:h val="0.9164193925595695"/>
        </c:manualLayout>
      </c:layout>
      <c:scatterChart>
        <c:scatterStyle val="smoothMarker"/>
        <c:varyColors val="0"/>
        <c:ser>
          <c:idx val="2"/>
          <c:order val="0"/>
          <c:tx>
            <c:v>Kante</c:v>
          </c:tx>
          <c:xVal>
            <c:numRef>
              <c:f>'Absturz vert. PP'!$I$5</c:f>
              <c:numCache>
                <c:formatCode>0.00</c:formatCode>
                <c:ptCount val="1"/>
              </c:numCache>
            </c:numRef>
          </c:xVal>
          <c:yVal>
            <c:numRef>
              <c:f>'Absturz vert. PP'!$I$6</c:f>
              <c:numCache>
                <c:formatCode>0.00</c:formatCode>
                <c:ptCount val="1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286-4377-B8F1-D9021D31829E}"/>
            </c:ext>
          </c:extLst>
        </c:ser>
        <c:ser>
          <c:idx val="0"/>
          <c:order val="1"/>
          <c:tx>
            <c:v>QM untere Trajektorie</c:v>
          </c:tx>
          <c:xVal>
            <c:numRef>
              <c:f>'Absturz vert. PP'!$A$25:$A$95</c:f>
              <c:numCache>
                <c:formatCode>0.00</c:formatCode>
                <c:ptCount val="7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0.15000000000000002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0.39999999999999997</c:v>
                </c:pt>
                <c:pt idx="9">
                  <c:v>0.44999999999999996</c:v>
                </c:pt>
                <c:pt idx="10">
                  <c:v>0.49999999999999994</c:v>
                </c:pt>
                <c:pt idx="11">
                  <c:v>0.54999999999999993</c:v>
                </c:pt>
                <c:pt idx="12">
                  <c:v>0.6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0.80000000000000016</c:v>
                </c:pt>
                <c:pt idx="17">
                  <c:v>0.8500000000000002</c:v>
                </c:pt>
                <c:pt idx="18">
                  <c:v>0.90000000000000024</c:v>
                </c:pt>
                <c:pt idx="19">
                  <c:v>0.95000000000000029</c:v>
                </c:pt>
                <c:pt idx="20">
                  <c:v>1.0000000000000002</c:v>
                </c:pt>
                <c:pt idx="21">
                  <c:v>1.0500000000000003</c:v>
                </c:pt>
                <c:pt idx="22">
                  <c:v>1.1000000000000003</c:v>
                </c:pt>
                <c:pt idx="23">
                  <c:v>1.1500000000000004</c:v>
                </c:pt>
                <c:pt idx="24">
                  <c:v>1.2000000000000004</c:v>
                </c:pt>
                <c:pt idx="25">
                  <c:v>1.2500000000000004</c:v>
                </c:pt>
                <c:pt idx="26">
                  <c:v>1.3000000000000005</c:v>
                </c:pt>
                <c:pt idx="27">
                  <c:v>1.3500000000000005</c:v>
                </c:pt>
                <c:pt idx="28">
                  <c:v>1.4000000000000006</c:v>
                </c:pt>
                <c:pt idx="29">
                  <c:v>1.4500000000000006</c:v>
                </c:pt>
                <c:pt idx="30">
                  <c:v>1.5000000000000007</c:v>
                </c:pt>
                <c:pt idx="31">
                  <c:v>1.5500000000000007</c:v>
                </c:pt>
                <c:pt idx="32">
                  <c:v>1.6000000000000008</c:v>
                </c:pt>
                <c:pt idx="33">
                  <c:v>1.6500000000000008</c:v>
                </c:pt>
                <c:pt idx="34">
                  <c:v>1.7000000000000008</c:v>
                </c:pt>
                <c:pt idx="35">
                  <c:v>1.7500000000000009</c:v>
                </c:pt>
                <c:pt idx="36">
                  <c:v>1.8000000000000009</c:v>
                </c:pt>
                <c:pt idx="37">
                  <c:v>1.850000000000001</c:v>
                </c:pt>
                <c:pt idx="38">
                  <c:v>1.900000000000001</c:v>
                </c:pt>
                <c:pt idx="39">
                  <c:v>1.9500000000000011</c:v>
                </c:pt>
                <c:pt idx="40">
                  <c:v>2.0000000000000009</c:v>
                </c:pt>
                <c:pt idx="41">
                  <c:v>2.0500000000000007</c:v>
                </c:pt>
                <c:pt idx="42">
                  <c:v>2.1000000000000005</c:v>
                </c:pt>
                <c:pt idx="43">
                  <c:v>2.1500000000000004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2.2999999999999998</c:v>
                </c:pt>
                <c:pt idx="47">
                  <c:v>2.3499999999999996</c:v>
                </c:pt>
                <c:pt idx="48">
                  <c:v>2.3999999999999995</c:v>
                </c:pt>
                <c:pt idx="49">
                  <c:v>2.4499999999999993</c:v>
                </c:pt>
                <c:pt idx="50">
                  <c:v>2.4999999999999991</c:v>
                </c:pt>
                <c:pt idx="51">
                  <c:v>2.5499999999999989</c:v>
                </c:pt>
                <c:pt idx="52">
                  <c:v>2.5999999999999988</c:v>
                </c:pt>
                <c:pt idx="53">
                  <c:v>2.6499999999999986</c:v>
                </c:pt>
                <c:pt idx="54">
                  <c:v>2.6999999999999984</c:v>
                </c:pt>
                <c:pt idx="55">
                  <c:v>2.7499999999999982</c:v>
                </c:pt>
                <c:pt idx="56">
                  <c:v>2.799999999999998</c:v>
                </c:pt>
                <c:pt idx="57">
                  <c:v>2.8499999999999979</c:v>
                </c:pt>
                <c:pt idx="58">
                  <c:v>2.8999999999999977</c:v>
                </c:pt>
                <c:pt idx="59">
                  <c:v>2.9499999999999975</c:v>
                </c:pt>
                <c:pt idx="60">
                  <c:v>2.9999999999999973</c:v>
                </c:pt>
                <c:pt idx="61">
                  <c:v>3.0499999999999972</c:v>
                </c:pt>
                <c:pt idx="62">
                  <c:v>3.099999999999997</c:v>
                </c:pt>
                <c:pt idx="63">
                  <c:v>3.1499999999999968</c:v>
                </c:pt>
                <c:pt idx="64">
                  <c:v>3.1999999999999966</c:v>
                </c:pt>
                <c:pt idx="65">
                  <c:v>3.2499999999999964</c:v>
                </c:pt>
                <c:pt idx="66">
                  <c:v>3.2999999999999963</c:v>
                </c:pt>
                <c:pt idx="67">
                  <c:v>3.3499999999999961</c:v>
                </c:pt>
                <c:pt idx="68">
                  <c:v>3.3999999999999959</c:v>
                </c:pt>
                <c:pt idx="69">
                  <c:v>3.4499999999999957</c:v>
                </c:pt>
                <c:pt idx="70">
                  <c:v>3.4999999999999956</c:v>
                </c:pt>
              </c:numCache>
            </c:numRef>
          </c:xVal>
          <c:yVal>
            <c:numRef>
              <c:f>'Absturz vert. PP'!$J$25:$J$95</c:f>
              <c:numCache>
                <c:formatCode>0.00</c:formatCode>
                <c:ptCount val="7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A286-4377-B8F1-D9021D31829E}"/>
            </c:ext>
          </c:extLst>
        </c:ser>
        <c:ser>
          <c:idx val="1"/>
          <c:order val="2"/>
          <c:tx>
            <c:v>Qm obere Trajektorie</c:v>
          </c:tx>
          <c:xVal>
            <c:numRef>
              <c:f>'Absturz vert. PP'!$A$25:$A$95</c:f>
              <c:numCache>
                <c:formatCode>0.00</c:formatCode>
                <c:ptCount val="7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0.15000000000000002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0.39999999999999997</c:v>
                </c:pt>
                <c:pt idx="9">
                  <c:v>0.44999999999999996</c:v>
                </c:pt>
                <c:pt idx="10">
                  <c:v>0.49999999999999994</c:v>
                </c:pt>
                <c:pt idx="11">
                  <c:v>0.54999999999999993</c:v>
                </c:pt>
                <c:pt idx="12">
                  <c:v>0.6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0.80000000000000016</c:v>
                </c:pt>
                <c:pt idx="17">
                  <c:v>0.8500000000000002</c:v>
                </c:pt>
                <c:pt idx="18">
                  <c:v>0.90000000000000024</c:v>
                </c:pt>
                <c:pt idx="19">
                  <c:v>0.95000000000000029</c:v>
                </c:pt>
                <c:pt idx="20">
                  <c:v>1.0000000000000002</c:v>
                </c:pt>
                <c:pt idx="21">
                  <c:v>1.0500000000000003</c:v>
                </c:pt>
                <c:pt idx="22">
                  <c:v>1.1000000000000003</c:v>
                </c:pt>
                <c:pt idx="23">
                  <c:v>1.1500000000000004</c:v>
                </c:pt>
                <c:pt idx="24">
                  <c:v>1.2000000000000004</c:v>
                </c:pt>
                <c:pt idx="25">
                  <c:v>1.2500000000000004</c:v>
                </c:pt>
                <c:pt idx="26">
                  <c:v>1.3000000000000005</c:v>
                </c:pt>
                <c:pt idx="27">
                  <c:v>1.3500000000000005</c:v>
                </c:pt>
                <c:pt idx="28">
                  <c:v>1.4000000000000006</c:v>
                </c:pt>
                <c:pt idx="29">
                  <c:v>1.4500000000000006</c:v>
                </c:pt>
                <c:pt idx="30">
                  <c:v>1.5000000000000007</c:v>
                </c:pt>
                <c:pt idx="31">
                  <c:v>1.5500000000000007</c:v>
                </c:pt>
                <c:pt idx="32">
                  <c:v>1.6000000000000008</c:v>
                </c:pt>
                <c:pt idx="33">
                  <c:v>1.6500000000000008</c:v>
                </c:pt>
                <c:pt idx="34">
                  <c:v>1.7000000000000008</c:v>
                </c:pt>
                <c:pt idx="35">
                  <c:v>1.7500000000000009</c:v>
                </c:pt>
                <c:pt idx="36">
                  <c:v>1.8000000000000009</c:v>
                </c:pt>
                <c:pt idx="37">
                  <c:v>1.850000000000001</c:v>
                </c:pt>
                <c:pt idx="38">
                  <c:v>1.900000000000001</c:v>
                </c:pt>
                <c:pt idx="39">
                  <c:v>1.9500000000000011</c:v>
                </c:pt>
                <c:pt idx="40">
                  <c:v>2.0000000000000009</c:v>
                </c:pt>
                <c:pt idx="41">
                  <c:v>2.0500000000000007</c:v>
                </c:pt>
                <c:pt idx="42">
                  <c:v>2.1000000000000005</c:v>
                </c:pt>
                <c:pt idx="43">
                  <c:v>2.1500000000000004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2.2999999999999998</c:v>
                </c:pt>
                <c:pt idx="47">
                  <c:v>2.3499999999999996</c:v>
                </c:pt>
                <c:pt idx="48">
                  <c:v>2.3999999999999995</c:v>
                </c:pt>
                <c:pt idx="49">
                  <c:v>2.4499999999999993</c:v>
                </c:pt>
                <c:pt idx="50">
                  <c:v>2.4999999999999991</c:v>
                </c:pt>
                <c:pt idx="51">
                  <c:v>2.5499999999999989</c:v>
                </c:pt>
                <c:pt idx="52">
                  <c:v>2.5999999999999988</c:v>
                </c:pt>
                <c:pt idx="53">
                  <c:v>2.6499999999999986</c:v>
                </c:pt>
                <c:pt idx="54">
                  <c:v>2.6999999999999984</c:v>
                </c:pt>
                <c:pt idx="55">
                  <c:v>2.7499999999999982</c:v>
                </c:pt>
                <c:pt idx="56">
                  <c:v>2.799999999999998</c:v>
                </c:pt>
                <c:pt idx="57">
                  <c:v>2.8499999999999979</c:v>
                </c:pt>
                <c:pt idx="58">
                  <c:v>2.8999999999999977</c:v>
                </c:pt>
                <c:pt idx="59">
                  <c:v>2.9499999999999975</c:v>
                </c:pt>
                <c:pt idx="60">
                  <c:v>2.9999999999999973</c:v>
                </c:pt>
                <c:pt idx="61">
                  <c:v>3.0499999999999972</c:v>
                </c:pt>
                <c:pt idx="62">
                  <c:v>3.099999999999997</c:v>
                </c:pt>
                <c:pt idx="63">
                  <c:v>3.1499999999999968</c:v>
                </c:pt>
                <c:pt idx="64">
                  <c:v>3.1999999999999966</c:v>
                </c:pt>
                <c:pt idx="65">
                  <c:v>3.2499999999999964</c:v>
                </c:pt>
                <c:pt idx="66">
                  <c:v>3.2999999999999963</c:v>
                </c:pt>
                <c:pt idx="67">
                  <c:v>3.3499999999999961</c:v>
                </c:pt>
                <c:pt idx="68">
                  <c:v>3.3999999999999959</c:v>
                </c:pt>
                <c:pt idx="69">
                  <c:v>3.4499999999999957</c:v>
                </c:pt>
                <c:pt idx="70">
                  <c:v>3.4999999999999956</c:v>
                </c:pt>
              </c:numCache>
            </c:numRef>
          </c:xVal>
          <c:yVal>
            <c:numRef>
              <c:f>'Absturz vert. PP'!$G$25:$G$95</c:f>
              <c:numCache>
                <c:formatCode>0.00</c:formatCode>
                <c:ptCount val="7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A286-4377-B8F1-D9021D3182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4565680"/>
        <c:axId val="134566240"/>
      </c:scatterChart>
      <c:valAx>
        <c:axId val="134565680"/>
        <c:scaling>
          <c:orientation val="minMax"/>
          <c:max val="2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x [m]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134566240"/>
        <c:crosses val="autoZero"/>
        <c:crossBetween val="midCat"/>
      </c:valAx>
      <c:valAx>
        <c:axId val="134566240"/>
        <c:scaling>
          <c:orientation val="minMax"/>
          <c:max val="0.5"/>
          <c:min val="-2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z [m]</a:t>
                </a:r>
              </a:p>
            </c:rich>
          </c:tx>
          <c:layout>
            <c:manualLayout>
              <c:xMode val="edge"/>
              <c:yMode val="edge"/>
              <c:x val="1.4365763004456657E-2"/>
              <c:y val="5.0470457049921029E-2"/>
            </c:manualLayout>
          </c:layout>
          <c:overlay val="0"/>
        </c:title>
        <c:numFmt formatCode="0.00" sourceLinked="1"/>
        <c:majorTickMark val="out"/>
        <c:minorTickMark val="none"/>
        <c:tickLblPos val="nextTo"/>
        <c:crossAx val="134565680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1722524617308742"/>
          <c:y val="0.3984673919718692"/>
          <c:w val="0.39764906903415598"/>
          <c:h val="0.1713283407936220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1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chart" Target="../charts/chart3.xml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png"/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170168</xdr:colOff>
      <xdr:row>4</xdr:row>
      <xdr:rowOff>152400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452858" cy="838200"/>
        </a:xfrm>
        <a:prstGeom prst="rect">
          <a:avLst/>
        </a:prstGeom>
      </xdr:spPr>
    </xdr:pic>
    <xdr:clientData/>
  </xdr:twoCellAnchor>
  <xdr:twoCellAnchor editAs="oneCell">
    <xdr:from>
      <xdr:col>10</xdr:col>
      <xdr:colOff>163828</xdr:colOff>
      <xdr:row>0</xdr:row>
      <xdr:rowOff>0</xdr:rowOff>
    </xdr:from>
    <xdr:to>
      <xdr:col>13</xdr:col>
      <xdr:colOff>91794</xdr:colOff>
      <xdr:row>5</xdr:row>
      <xdr:rowOff>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50328" y="0"/>
          <a:ext cx="1808201" cy="8572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2647950</xdr:colOff>
      <xdr:row>31</xdr:row>
      <xdr:rowOff>164777</xdr:rowOff>
    </xdr:from>
    <xdr:to>
      <xdr:col>6</xdr:col>
      <xdr:colOff>382905</xdr:colOff>
      <xdr:row>55</xdr:row>
      <xdr:rowOff>21018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448469</xdr:colOff>
      <xdr:row>31</xdr:row>
      <xdr:rowOff>157049</xdr:rowOff>
    </xdr:from>
    <xdr:to>
      <xdr:col>16</xdr:col>
      <xdr:colOff>9525</xdr:colOff>
      <xdr:row>55</xdr:row>
      <xdr:rowOff>5670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104775</xdr:colOff>
      <xdr:row>9</xdr:row>
      <xdr:rowOff>169545</xdr:rowOff>
    </xdr:from>
    <xdr:to>
      <xdr:col>15</xdr:col>
      <xdr:colOff>20724</xdr:colOff>
      <xdr:row>29</xdr:row>
      <xdr:rowOff>17145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id="{3ACDAFA3-3888-43BE-8368-BAF5E28FF8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24450" y="1941195"/>
          <a:ext cx="4476519" cy="3781425"/>
        </a:xfrm>
        <a:prstGeom prst="rect">
          <a:avLst/>
        </a:prstGeom>
      </xdr:spPr>
    </xdr:pic>
    <xdr:clientData/>
  </xdr:twoCellAnchor>
  <xdr:twoCellAnchor>
    <xdr:from>
      <xdr:col>6</xdr:col>
      <xdr:colOff>53342</xdr:colOff>
      <xdr:row>10</xdr:row>
      <xdr:rowOff>0</xdr:rowOff>
    </xdr:from>
    <xdr:to>
      <xdr:col>15</xdr:col>
      <xdr:colOff>91441</xdr:colOff>
      <xdr:row>29</xdr:row>
      <xdr:rowOff>0</xdr:rowOff>
    </xdr:to>
    <xdr:graphicFrame macro="">
      <xdr:nvGraphicFramePr>
        <xdr:cNvPr id="31" name="Chart 30">
          <a:extLst>
            <a:ext uri="{FF2B5EF4-FFF2-40B4-BE49-F238E27FC236}">
              <a16:creationId xmlns:a16="http://schemas.microsoft.com/office/drawing/2014/main" id="{A8192E52-B8E9-48F4-B751-69134D51283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60958</xdr:colOff>
      <xdr:row>30</xdr:row>
      <xdr:rowOff>74216</xdr:rowOff>
    </xdr:from>
    <xdr:to>
      <xdr:col>5</xdr:col>
      <xdr:colOff>1428964</xdr:colOff>
      <xdr:row>48</xdr:row>
      <xdr:rowOff>2077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BA1B13F-5CE4-A4F4-7D8B-AEAAEE2FF8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958" y="5979716"/>
          <a:ext cx="4920831" cy="3011883"/>
        </a:xfrm>
        <a:prstGeom prst="rect">
          <a:avLst/>
        </a:prstGeom>
      </xdr:spPr>
    </xdr:pic>
    <xdr:clientData/>
  </xdr:twoCellAnchor>
  <xdr:twoCellAnchor>
    <xdr:from>
      <xdr:col>2</xdr:col>
      <xdr:colOff>291810</xdr:colOff>
      <xdr:row>44</xdr:row>
      <xdr:rowOff>11621</xdr:rowOff>
    </xdr:from>
    <xdr:to>
      <xdr:col>4</xdr:col>
      <xdr:colOff>302894</xdr:colOff>
      <xdr:row>46</xdr:row>
      <xdr:rowOff>103418</xdr:rowOff>
    </xdr:to>
    <xdr:sp macro="" textlink="">
      <xdr:nvSpPr>
        <xdr:cNvPr id="3" name="TextBox 10">
          <a:extLst>
            <a:ext uri="{FF2B5EF4-FFF2-40B4-BE49-F238E27FC236}">
              <a16:creationId xmlns:a16="http://schemas.microsoft.com/office/drawing/2014/main" id="{BDA6C26F-1313-C70E-0C5A-19FF0087F215}"/>
            </a:ext>
          </a:extLst>
        </xdr:cNvPr>
        <xdr:cNvSpPr txBox="1"/>
      </xdr:nvSpPr>
      <xdr:spPr>
        <a:xfrm>
          <a:off x="1768185" y="8317421"/>
          <a:ext cx="1325534" cy="434697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de-CH" sz="2200"/>
            <a:t>Rohr “</a:t>
          </a:r>
          <a:r>
            <a:rPr lang="de-CH" sz="2200" i="1">
              <a:solidFill>
                <a:schemeClr val="accent2"/>
              </a:solidFill>
            </a:rPr>
            <a:t>L</a:t>
          </a:r>
          <a:r>
            <a:rPr lang="de-CH" sz="2200"/>
            <a:t>”</a:t>
          </a:r>
        </a:p>
      </xdr:txBody>
    </xdr:sp>
    <xdr:clientData/>
  </xdr:twoCellAnchor>
  <xdr:twoCellAnchor>
    <xdr:from>
      <xdr:col>5</xdr:col>
      <xdr:colOff>584427</xdr:colOff>
      <xdr:row>36</xdr:row>
      <xdr:rowOff>16122</xdr:rowOff>
    </xdr:from>
    <xdr:to>
      <xdr:col>7</xdr:col>
      <xdr:colOff>276225</xdr:colOff>
      <xdr:row>38</xdr:row>
      <xdr:rowOff>117565</xdr:rowOff>
    </xdr:to>
    <xdr:sp macro="" textlink="">
      <xdr:nvSpPr>
        <xdr:cNvPr id="4" name="TextBox 11">
          <a:extLst>
            <a:ext uri="{FF2B5EF4-FFF2-40B4-BE49-F238E27FC236}">
              <a16:creationId xmlns:a16="http://schemas.microsoft.com/office/drawing/2014/main" id="{B3B17733-B00F-5188-53B2-E949127C059B}"/>
            </a:ext>
          </a:extLst>
        </xdr:cNvPr>
        <xdr:cNvSpPr txBox="1"/>
      </xdr:nvSpPr>
      <xdr:spPr>
        <a:xfrm>
          <a:off x="4137252" y="6950322"/>
          <a:ext cx="1291998" cy="444343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de-CH" sz="2200"/>
            <a:t>Rohr “</a:t>
          </a:r>
          <a:r>
            <a:rPr lang="de-CH" sz="2200" i="1">
              <a:solidFill>
                <a:schemeClr val="accent2"/>
              </a:solidFill>
            </a:rPr>
            <a:t>U</a:t>
          </a:r>
          <a:r>
            <a:rPr lang="de-CH" sz="2200"/>
            <a:t>”</a:t>
          </a:r>
        </a:p>
      </xdr:txBody>
    </xdr:sp>
    <xdr:clientData/>
  </xdr:twoCellAnchor>
  <xdr:twoCellAnchor>
    <xdr:from>
      <xdr:col>0</xdr:col>
      <xdr:colOff>98633</xdr:colOff>
      <xdr:row>30</xdr:row>
      <xdr:rowOff>135255</xdr:rowOff>
    </xdr:from>
    <xdr:to>
      <xdr:col>2</xdr:col>
      <xdr:colOff>36195</xdr:colOff>
      <xdr:row>33</xdr:row>
      <xdr:rowOff>65127</xdr:rowOff>
    </xdr:to>
    <xdr:sp macro="" textlink="">
      <xdr:nvSpPr>
        <xdr:cNvPr id="5" name="TextBox 12">
          <a:extLst>
            <a:ext uri="{FF2B5EF4-FFF2-40B4-BE49-F238E27FC236}">
              <a16:creationId xmlns:a16="http://schemas.microsoft.com/office/drawing/2014/main" id="{51DAAD37-FA5D-274F-B10F-B8B19EC9599D}"/>
            </a:ext>
          </a:extLst>
        </xdr:cNvPr>
        <xdr:cNvSpPr txBox="1"/>
      </xdr:nvSpPr>
      <xdr:spPr>
        <a:xfrm>
          <a:off x="98633" y="6040755"/>
          <a:ext cx="1413937" cy="444222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de-CH" sz="2200"/>
            <a:t>Rohr “</a:t>
          </a:r>
          <a:r>
            <a:rPr lang="de-CH" sz="2200" i="1">
              <a:solidFill>
                <a:schemeClr val="accent2"/>
              </a:solidFill>
            </a:rPr>
            <a:t>O</a:t>
          </a:r>
          <a:r>
            <a:rPr lang="de-CH" sz="2200"/>
            <a:t>”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169545</xdr:colOff>
      <xdr:row>24</xdr:row>
      <xdr:rowOff>605</xdr:rowOff>
    </xdr:from>
    <xdr:to>
      <xdr:col>15</xdr:col>
      <xdr:colOff>135255</xdr:colOff>
      <xdr:row>38</xdr:row>
      <xdr:rowOff>54532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959BBBA-9C2C-4113-8960-7F86718EFF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70245" y="4229705"/>
          <a:ext cx="5631180" cy="2656157"/>
        </a:xfrm>
        <a:prstGeom prst="rect">
          <a:avLst/>
        </a:prstGeom>
      </xdr:spPr>
    </xdr:pic>
    <xdr:clientData/>
  </xdr:twoCellAnchor>
  <xdr:twoCellAnchor editAs="oneCell">
    <xdr:from>
      <xdr:col>6</xdr:col>
      <xdr:colOff>114300</xdr:colOff>
      <xdr:row>2</xdr:row>
      <xdr:rowOff>114299</xdr:rowOff>
    </xdr:from>
    <xdr:to>
      <xdr:col>13</xdr:col>
      <xdr:colOff>22041</xdr:colOff>
      <xdr:row>22</xdr:row>
      <xdr:rowOff>60959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A18E225-DEF8-DC4F-0436-44A6ED82575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3658" t="3250" r="2264"/>
        <a:stretch/>
      </xdr:blipFill>
      <xdr:spPr>
        <a:xfrm>
          <a:off x="5715000" y="666749"/>
          <a:ext cx="4308291" cy="38195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49530</xdr:colOff>
      <xdr:row>30</xdr:row>
      <xdr:rowOff>54485</xdr:rowOff>
    </xdr:from>
    <xdr:to>
      <xdr:col>7</xdr:col>
      <xdr:colOff>212830</xdr:colOff>
      <xdr:row>53</xdr:row>
      <xdr:rowOff>1904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9D84CB3-7F28-7D7C-F067-A125E4691F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530" y="6312410"/>
          <a:ext cx="5916400" cy="387933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251459</xdr:colOff>
      <xdr:row>17</xdr:row>
      <xdr:rowOff>146681</xdr:rowOff>
    </xdr:from>
    <xdr:to>
      <xdr:col>11</xdr:col>
      <xdr:colOff>472440</xdr:colOff>
      <xdr:row>38</xdr:row>
      <xdr:rowOff>170699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7D28F9A-A3F7-F0A7-F3C6-AA66EAA580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37434" y="3813806"/>
          <a:ext cx="4490086" cy="420358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211455</xdr:colOff>
      <xdr:row>20</xdr:row>
      <xdr:rowOff>11429</xdr:rowOff>
    </xdr:from>
    <xdr:to>
      <xdr:col>17</xdr:col>
      <xdr:colOff>773430</xdr:colOff>
      <xdr:row>47</xdr:row>
      <xdr:rowOff>19050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11</xdr:col>
      <xdr:colOff>104775</xdr:colOff>
      <xdr:row>0</xdr:row>
      <xdr:rowOff>138920</xdr:rowOff>
    </xdr:from>
    <xdr:to>
      <xdr:col>17</xdr:col>
      <xdr:colOff>704850</xdr:colOff>
      <xdr:row>19</xdr:row>
      <xdr:rowOff>57449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E19FCC5-EB1D-23CD-5DC3-87C66578DF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610600" y="138920"/>
          <a:ext cx="4781550" cy="387330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69479</xdr:colOff>
      <xdr:row>12</xdr:row>
      <xdr:rowOff>112395</xdr:rowOff>
    </xdr:from>
    <xdr:to>
      <xdr:col>12</xdr:col>
      <xdr:colOff>207033</xdr:colOff>
      <xdr:row>34</xdr:row>
      <xdr:rowOff>57150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2980B47-5C99-4ACA-B6E7-C31FCB9AAE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70454" y="2655570"/>
          <a:ext cx="2648344" cy="408432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62865</xdr:colOff>
      <xdr:row>8</xdr:row>
      <xdr:rowOff>152400</xdr:rowOff>
    </xdr:from>
    <xdr:to>
      <xdr:col>12</xdr:col>
      <xdr:colOff>111877</xdr:colOff>
      <xdr:row>32</xdr:row>
      <xdr:rowOff>53985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D39051A-520B-4B92-9B7F-2289240BE7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63840" y="1905000"/>
          <a:ext cx="2563612" cy="4458345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A18"/>
  <sheetViews>
    <sheetView tabSelected="1" zoomScaleNormal="100" workbookViewId="0">
      <selection activeCell="A6" sqref="A6"/>
    </sheetView>
  </sheetViews>
  <sheetFormatPr defaultColWidth="9.109375" defaultRowHeight="13.8" x14ac:dyDescent="0.25"/>
  <cols>
    <col min="1" max="1" width="9.109375" style="1" customWidth="1"/>
    <col min="2" max="16384" width="9.109375" style="1"/>
  </cols>
  <sheetData>
    <row r="7" spans="1:1" s="164" customFormat="1" ht="17.399999999999999" x14ac:dyDescent="0.3">
      <c r="A7" s="164" t="s">
        <v>2</v>
      </c>
    </row>
    <row r="9" spans="1:1" x14ac:dyDescent="0.25">
      <c r="A9" s="1" t="s">
        <v>275</v>
      </c>
    </row>
    <row r="10" spans="1:1" x14ac:dyDescent="0.25">
      <c r="A10" s="1" t="s">
        <v>277</v>
      </c>
    </row>
    <row r="11" spans="1:1" x14ac:dyDescent="0.25">
      <c r="A11" s="1" t="s">
        <v>0</v>
      </c>
    </row>
    <row r="12" spans="1:1" x14ac:dyDescent="0.25">
      <c r="A12" s="1" t="s">
        <v>278</v>
      </c>
    </row>
    <row r="13" spans="1:1" x14ac:dyDescent="0.25">
      <c r="A13" s="1" t="s">
        <v>442</v>
      </c>
    </row>
    <row r="14" spans="1:1" x14ac:dyDescent="0.25">
      <c r="A14" s="1" t="s">
        <v>1</v>
      </c>
    </row>
    <row r="16" spans="1:1" x14ac:dyDescent="0.25">
      <c r="A16" s="74" t="s">
        <v>276</v>
      </c>
    </row>
    <row r="18" spans="1:1" x14ac:dyDescent="0.25">
      <c r="A18" s="1" t="s">
        <v>225</v>
      </c>
    </row>
  </sheetData>
  <pageMargins left="0.7" right="0.7" top="0.75" bottom="0.75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N372"/>
  <sheetViews>
    <sheetView zoomScaleNormal="100" workbookViewId="0"/>
  </sheetViews>
  <sheetFormatPr defaultColWidth="9.109375" defaultRowHeight="14.4" x14ac:dyDescent="0.3"/>
  <cols>
    <col min="1" max="1" width="58.5546875" style="6" customWidth="1"/>
    <col min="2" max="2" width="6.44140625" style="38" customWidth="1"/>
    <col min="3" max="3" width="9.109375" style="11"/>
    <col min="4" max="4" width="9.33203125" style="11" bestFit="1" customWidth="1"/>
    <col min="5" max="6" width="9.109375" style="11"/>
    <col min="7" max="7" width="9.33203125" style="11" bestFit="1" customWidth="1"/>
    <col min="8" max="8" width="9.109375" style="11"/>
    <col min="9" max="9" width="1.88671875" style="11" customWidth="1"/>
    <col min="10" max="10" width="6.44140625" style="38" customWidth="1"/>
    <col min="11" max="11" width="9.109375" style="11" customWidth="1"/>
    <col min="12" max="12" width="9.5546875" style="11" customWidth="1"/>
    <col min="13" max="13" width="9.6640625" style="11" customWidth="1"/>
    <col min="14" max="14" width="8" style="11" customWidth="1"/>
    <col min="15" max="15" width="10.33203125" style="11" customWidth="1"/>
    <col min="16" max="16" width="6.5546875" style="11" customWidth="1"/>
    <col min="17" max="17" width="1.88671875" style="11" customWidth="1"/>
    <col min="18" max="18" width="8.88671875" style="11" customWidth="1"/>
    <col min="19" max="19" width="7.5546875" style="11" customWidth="1"/>
    <col min="20" max="20" width="9.44140625" style="11" bestFit="1" customWidth="1"/>
    <col min="21" max="21" width="9.44140625" style="11" customWidth="1"/>
    <col min="22" max="22" width="11" style="11" customWidth="1"/>
    <col min="23" max="23" width="10.88671875" style="11" customWidth="1"/>
    <col min="24" max="24" width="9.44140625" style="11" customWidth="1"/>
    <col min="25" max="26" width="9.44140625" style="11" bestFit="1" customWidth="1"/>
    <col min="27" max="27" width="10.5546875" style="11" bestFit="1" customWidth="1"/>
    <col min="28" max="28" width="9.6640625" style="11" bestFit="1" customWidth="1"/>
    <col min="29" max="29" width="9.44140625" style="11" bestFit="1" customWidth="1"/>
    <col min="30" max="30" width="16.77734375" style="11" customWidth="1"/>
    <col min="31" max="32" width="9.5546875" style="11" bestFit="1" customWidth="1"/>
    <col min="33" max="33" width="16.77734375" style="11" customWidth="1"/>
    <col min="34" max="34" width="17.77734375" style="11" customWidth="1"/>
    <col min="35" max="35" width="16.109375" style="38" customWidth="1"/>
    <col min="36" max="36" width="1.88671875" style="38" customWidth="1"/>
    <col min="37" max="39" width="9.109375" style="38"/>
    <col min="40" max="40" width="9.109375" style="185"/>
    <col min="41" max="16384" width="9.109375" style="11"/>
  </cols>
  <sheetData>
    <row r="1" spans="1:40" x14ac:dyDescent="0.3">
      <c r="A1" s="16" t="s">
        <v>443</v>
      </c>
    </row>
    <row r="2" spans="1:40" s="5" customFormat="1" ht="40.5" customHeight="1" thickBot="1" x14ac:dyDescent="0.35">
      <c r="A2" s="105" t="s">
        <v>480</v>
      </c>
      <c r="B2" s="2"/>
      <c r="C2" s="280" t="s">
        <v>3</v>
      </c>
      <c r="D2" s="281"/>
      <c r="E2" s="281"/>
      <c r="F2" s="281"/>
      <c r="G2" s="281"/>
      <c r="H2" s="282"/>
      <c r="I2" s="3"/>
      <c r="J2" s="4"/>
      <c r="K2" s="280" t="s">
        <v>228</v>
      </c>
      <c r="L2" s="281"/>
      <c r="M2" s="281"/>
      <c r="N2" s="281"/>
      <c r="O2" s="281"/>
      <c r="P2" s="282"/>
      <c r="R2" s="283" t="s">
        <v>4</v>
      </c>
      <c r="S2" s="284"/>
      <c r="T2" s="284"/>
      <c r="U2" s="284"/>
      <c r="V2" s="284"/>
      <c r="W2" s="284"/>
      <c r="X2" s="284"/>
      <c r="Y2" s="284"/>
      <c r="Z2" s="284"/>
      <c r="AA2" s="284"/>
      <c r="AB2" s="284"/>
      <c r="AC2" s="284"/>
      <c r="AD2" s="284"/>
      <c r="AE2" s="284"/>
      <c r="AF2" s="284"/>
      <c r="AG2" s="284"/>
      <c r="AH2" s="285"/>
      <c r="AI2" s="277" t="s">
        <v>224</v>
      </c>
      <c r="AJ2" s="52"/>
      <c r="AK2" s="52"/>
      <c r="AM2" s="52"/>
    </row>
    <row r="3" spans="1:40" ht="15" customHeight="1" x14ac:dyDescent="0.3">
      <c r="A3" s="6" t="s">
        <v>216</v>
      </c>
      <c r="B3" s="7"/>
      <c r="C3" s="8" t="s">
        <v>6</v>
      </c>
      <c r="D3" s="109"/>
      <c r="E3" s="9" t="s">
        <v>7</v>
      </c>
      <c r="F3" s="9"/>
      <c r="G3" s="9"/>
      <c r="H3" s="10"/>
      <c r="J3" s="7"/>
      <c r="K3" s="8" t="s">
        <v>6</v>
      </c>
      <c r="L3" s="12">
        <f>D3</f>
        <v>0</v>
      </c>
      <c r="M3" s="9" t="s">
        <v>7</v>
      </c>
      <c r="N3" s="13"/>
      <c r="O3" s="9"/>
      <c r="P3" s="10"/>
      <c r="R3" s="14"/>
      <c r="AD3" s="286" t="s">
        <v>222</v>
      </c>
      <c r="AE3" s="286" t="s">
        <v>8</v>
      </c>
      <c r="AF3" s="286"/>
      <c r="AG3" s="286" t="s">
        <v>223</v>
      </c>
      <c r="AH3" s="287" t="s">
        <v>5</v>
      </c>
      <c r="AI3" s="278"/>
      <c r="AJ3" s="52"/>
      <c r="AK3" s="52"/>
      <c r="AL3" s="52"/>
      <c r="AM3" s="52"/>
    </row>
    <row r="4" spans="1:40" ht="18.75" customHeight="1" x14ac:dyDescent="0.3">
      <c r="A4" s="6" t="s">
        <v>217</v>
      </c>
      <c r="B4" s="7"/>
      <c r="C4" s="8" t="s">
        <v>9</v>
      </c>
      <c r="D4" s="110"/>
      <c r="E4" s="9" t="s">
        <v>7</v>
      </c>
      <c r="F4" s="9"/>
      <c r="G4" s="9"/>
      <c r="H4" s="10"/>
      <c r="J4" s="7"/>
      <c r="K4" s="8" t="s">
        <v>9</v>
      </c>
      <c r="L4" s="12">
        <f>D4</f>
        <v>0</v>
      </c>
      <c r="M4" s="9" t="s">
        <v>7</v>
      </c>
      <c r="N4" s="13"/>
      <c r="O4" s="9"/>
      <c r="P4" s="10"/>
      <c r="R4" s="14"/>
      <c r="V4" s="6" t="s">
        <v>10</v>
      </c>
      <c r="W4" s="15">
        <f>0.5*W5</f>
        <v>0</v>
      </c>
      <c r="X4" s="16" t="s">
        <v>11</v>
      </c>
      <c r="Z4" s="17" t="s">
        <v>12</v>
      </c>
      <c r="AA4" s="18" t="e">
        <f>POWER(8.2*SQRT(9.81)/D5,6)</f>
        <v>#DIV/0!</v>
      </c>
      <c r="AB4" s="16" t="s">
        <v>13</v>
      </c>
      <c r="AD4" s="286"/>
      <c r="AE4" s="286"/>
      <c r="AF4" s="286"/>
      <c r="AG4" s="286"/>
      <c r="AH4" s="287"/>
      <c r="AI4" s="278"/>
      <c r="AJ4" s="52"/>
      <c r="AK4" s="52"/>
      <c r="AL4" s="52"/>
      <c r="AM4" s="52"/>
    </row>
    <row r="5" spans="1:40" ht="18" customHeight="1" x14ac:dyDescent="0.3">
      <c r="A5" s="6" t="s">
        <v>234</v>
      </c>
      <c r="B5" s="7"/>
      <c r="C5" s="8" t="s">
        <v>14</v>
      </c>
      <c r="D5" s="19"/>
      <c r="E5" s="9" t="s">
        <v>15</v>
      </c>
      <c r="F5" s="9"/>
      <c r="G5" s="9"/>
      <c r="H5" s="10"/>
      <c r="J5" s="7"/>
      <c r="K5" s="8" t="s">
        <v>14</v>
      </c>
      <c r="L5" s="20">
        <f>D5</f>
        <v>0</v>
      </c>
      <c r="M5" s="9" t="s">
        <v>15</v>
      </c>
      <c r="N5" s="13"/>
      <c r="O5" s="9"/>
      <c r="P5" s="10"/>
      <c r="R5" s="14"/>
      <c r="V5" s="6" t="s">
        <v>16</v>
      </c>
      <c r="W5" s="15">
        <f>D10</f>
        <v>0</v>
      </c>
      <c r="X5" s="16" t="s">
        <v>11</v>
      </c>
      <c r="Z5" s="17" t="s">
        <v>17</v>
      </c>
      <c r="AA5" s="21">
        <v>1.31E-6</v>
      </c>
      <c r="AB5" s="11" t="s">
        <v>18</v>
      </c>
      <c r="AD5" s="286"/>
      <c r="AE5" s="286"/>
      <c r="AF5" s="286"/>
      <c r="AG5" s="286"/>
      <c r="AH5" s="287"/>
      <c r="AI5" s="278"/>
      <c r="AJ5" s="52"/>
      <c r="AK5" s="52"/>
      <c r="AL5" s="52"/>
      <c r="AM5" s="52"/>
    </row>
    <row r="6" spans="1:40" ht="18" customHeight="1" thickBot="1" x14ac:dyDescent="0.35">
      <c r="A6" s="6" t="s">
        <v>230</v>
      </c>
      <c r="B6" s="22"/>
      <c r="C6" s="8" t="s">
        <v>19</v>
      </c>
      <c r="D6" s="83"/>
      <c r="E6" s="9" t="s">
        <v>20</v>
      </c>
      <c r="F6" s="9"/>
      <c r="G6" s="9"/>
      <c r="H6" s="10"/>
      <c r="J6" s="22"/>
      <c r="K6" s="8" t="s">
        <v>19</v>
      </c>
      <c r="L6" s="12">
        <f>D6</f>
        <v>0</v>
      </c>
      <c r="M6" s="9" t="s">
        <v>20</v>
      </c>
      <c r="N6" s="13"/>
      <c r="O6" s="9"/>
      <c r="P6" s="10"/>
      <c r="R6" s="14"/>
      <c r="V6" s="6" t="s">
        <v>21</v>
      </c>
      <c r="W6" s="15">
        <f>W5*W5*PI()*0.25</f>
        <v>0</v>
      </c>
      <c r="X6" s="16" t="s">
        <v>22</v>
      </c>
      <c r="AD6" s="286"/>
      <c r="AE6" s="286"/>
      <c r="AF6" s="286"/>
      <c r="AG6" s="286"/>
      <c r="AH6" s="287"/>
      <c r="AI6" s="278"/>
      <c r="AJ6" s="52"/>
      <c r="AK6" s="52"/>
      <c r="AL6" s="52"/>
      <c r="AM6" s="52"/>
    </row>
    <row r="7" spans="1:40" ht="15" customHeight="1" x14ac:dyDescent="0.3">
      <c r="B7" s="23" t="s">
        <v>23</v>
      </c>
      <c r="C7" s="24"/>
      <c r="D7" s="25" t="s">
        <v>24</v>
      </c>
      <c r="E7" s="26"/>
      <c r="F7" s="27"/>
      <c r="G7" s="28" t="s">
        <v>25</v>
      </c>
      <c r="H7" s="29"/>
      <c r="I7" s="30"/>
      <c r="J7" s="23" t="s">
        <v>23</v>
      </c>
      <c r="K7" s="24"/>
      <c r="L7" s="28" t="s">
        <v>24</v>
      </c>
      <c r="M7" s="26"/>
      <c r="N7" s="27"/>
      <c r="O7" s="28" t="s">
        <v>25</v>
      </c>
      <c r="P7" s="29"/>
      <c r="R7" s="14"/>
      <c r="V7" s="6" t="s">
        <v>26</v>
      </c>
      <c r="W7" s="15">
        <f>W5*PI()</f>
        <v>0</v>
      </c>
      <c r="X7" s="16" t="s">
        <v>11</v>
      </c>
      <c r="AD7" s="286"/>
      <c r="AE7" s="286"/>
      <c r="AF7" s="286"/>
      <c r="AG7" s="286"/>
      <c r="AH7" s="287"/>
      <c r="AI7" s="278"/>
      <c r="AJ7" s="52"/>
      <c r="AK7" s="52"/>
      <c r="AL7" s="52"/>
      <c r="AM7" s="52"/>
    </row>
    <row r="8" spans="1:40" ht="17.25" customHeight="1" x14ac:dyDescent="0.3">
      <c r="A8" s="6" t="s">
        <v>27</v>
      </c>
      <c r="B8" s="31" t="s">
        <v>28</v>
      </c>
      <c r="C8" s="32"/>
      <c r="D8" s="33">
        <f>170*POWER(D6^2*D3,1/30)</f>
        <v>0</v>
      </c>
      <c r="E8" s="34" t="s">
        <v>15</v>
      </c>
      <c r="F8" s="35"/>
      <c r="G8" s="33">
        <f>170*POWER(D6^2*D4,1/30)</f>
        <v>0</v>
      </c>
      <c r="H8" s="34" t="s">
        <v>15</v>
      </c>
      <c r="I8" s="16"/>
      <c r="J8" s="31"/>
      <c r="K8" s="32"/>
      <c r="L8" s="33"/>
      <c r="M8" s="34"/>
      <c r="N8" s="35"/>
      <c r="O8" s="33"/>
      <c r="P8" s="34"/>
      <c r="R8" s="14"/>
      <c r="V8" s="6" t="s">
        <v>156</v>
      </c>
      <c r="W8" s="15" t="e">
        <f>W6/W7</f>
        <v>#DIV/0!</v>
      </c>
      <c r="X8" s="16" t="s">
        <v>11</v>
      </c>
      <c r="AD8" s="286"/>
      <c r="AE8" s="286"/>
      <c r="AF8" s="286"/>
      <c r="AG8" s="286"/>
      <c r="AH8" s="287"/>
      <c r="AI8" s="278"/>
      <c r="AJ8" s="52"/>
      <c r="AK8" s="52"/>
      <c r="AL8" s="52"/>
      <c r="AM8" s="52"/>
    </row>
    <row r="9" spans="1:40" ht="16.2" thickBot="1" x14ac:dyDescent="0.35">
      <c r="A9" s="6" t="s">
        <v>218</v>
      </c>
      <c r="B9" s="31">
        <v>33</v>
      </c>
      <c r="C9" s="8" t="s">
        <v>29</v>
      </c>
      <c r="D9" s="36" t="e">
        <f>POWER(D3/(0.31*D5*SQRT(D6)),3/8)</f>
        <v>#DIV/0!</v>
      </c>
      <c r="E9" s="34" t="s">
        <v>11</v>
      </c>
      <c r="F9" s="35"/>
      <c r="G9" s="9"/>
      <c r="H9" s="34"/>
      <c r="I9" s="16"/>
      <c r="J9" s="31"/>
      <c r="K9" s="8"/>
      <c r="L9" s="36"/>
      <c r="M9" s="34"/>
      <c r="N9" s="35"/>
      <c r="O9" s="9"/>
      <c r="P9" s="34"/>
      <c r="R9" s="37"/>
      <c r="Z9" s="38"/>
      <c r="AA9" s="38"/>
      <c r="AB9" s="38"/>
      <c r="AC9" s="39"/>
      <c r="AD9" s="286"/>
      <c r="AE9" s="286"/>
      <c r="AF9" s="286"/>
      <c r="AG9" s="286"/>
      <c r="AH9" s="287"/>
      <c r="AI9" s="279"/>
      <c r="AJ9" s="52"/>
      <c r="AK9" s="30" t="s">
        <v>226</v>
      </c>
      <c r="AL9" s="52"/>
      <c r="AM9" s="52"/>
    </row>
    <row r="10" spans="1:40" ht="16.8" thickBot="1" x14ac:dyDescent="0.35">
      <c r="A10" s="41" t="s">
        <v>219</v>
      </c>
      <c r="B10" s="31"/>
      <c r="C10" s="8" t="s">
        <v>107</v>
      </c>
      <c r="D10" s="43"/>
      <c r="E10" s="34" t="s">
        <v>11</v>
      </c>
      <c r="F10" s="35"/>
      <c r="G10" s="9"/>
      <c r="H10" s="34"/>
      <c r="I10" s="16"/>
      <c r="J10" s="31"/>
      <c r="K10" s="42" t="s">
        <v>31</v>
      </c>
      <c r="L10" s="44">
        <f>D10</f>
        <v>0</v>
      </c>
      <c r="M10" s="34" t="s">
        <v>11</v>
      </c>
      <c r="N10" s="35"/>
      <c r="O10" s="9"/>
      <c r="P10" s="34"/>
      <c r="R10" s="45" t="s">
        <v>32</v>
      </c>
      <c r="S10" s="46" t="s">
        <v>33</v>
      </c>
      <c r="T10" s="46" t="s">
        <v>33</v>
      </c>
      <c r="U10" s="47" t="s">
        <v>34</v>
      </c>
      <c r="V10" s="47" t="s">
        <v>35</v>
      </c>
      <c r="W10" s="47" t="s">
        <v>36</v>
      </c>
      <c r="X10" s="46" t="s">
        <v>37</v>
      </c>
      <c r="Y10" s="46" t="s">
        <v>38</v>
      </c>
      <c r="Z10" s="46" t="s">
        <v>39</v>
      </c>
      <c r="AA10" s="46" t="s">
        <v>40</v>
      </c>
      <c r="AB10" s="47" t="s">
        <v>41</v>
      </c>
      <c r="AC10" s="46" t="s">
        <v>42</v>
      </c>
      <c r="AD10" s="47" t="s">
        <v>43</v>
      </c>
      <c r="AE10" s="47" t="s">
        <v>44</v>
      </c>
      <c r="AF10" s="47" t="s">
        <v>43</v>
      </c>
      <c r="AG10" s="46" t="s">
        <v>45</v>
      </c>
      <c r="AH10" s="48" t="s">
        <v>46</v>
      </c>
      <c r="AI10" s="99" t="s">
        <v>47</v>
      </c>
      <c r="AK10" s="46" t="s">
        <v>46</v>
      </c>
      <c r="AL10" s="47" t="s">
        <v>41</v>
      </c>
      <c r="AM10" s="46" t="s">
        <v>38</v>
      </c>
      <c r="AN10" s="46" t="s">
        <v>42</v>
      </c>
    </row>
    <row r="11" spans="1:40" ht="16.2" x14ac:dyDescent="0.3">
      <c r="A11" s="6" t="s">
        <v>21</v>
      </c>
      <c r="B11" s="31"/>
      <c r="C11" s="8" t="s">
        <v>30</v>
      </c>
      <c r="D11" s="36">
        <f>D10^2*PI()*0.25</f>
        <v>0</v>
      </c>
      <c r="E11" s="34" t="s">
        <v>22</v>
      </c>
      <c r="F11" s="35"/>
      <c r="G11" s="9"/>
      <c r="H11" s="34"/>
      <c r="I11" s="16"/>
      <c r="J11" s="31"/>
      <c r="K11" s="8" t="s">
        <v>30</v>
      </c>
      <c r="L11" s="36">
        <f>L10^2*PI()*0.25</f>
        <v>0</v>
      </c>
      <c r="M11" s="34" t="s">
        <v>22</v>
      </c>
      <c r="N11" s="35"/>
      <c r="O11" s="9"/>
      <c r="P11" s="34"/>
      <c r="R11" s="49" t="s">
        <v>48</v>
      </c>
      <c r="S11" s="40" t="s">
        <v>48</v>
      </c>
      <c r="T11" s="40" t="s">
        <v>49</v>
      </c>
      <c r="U11" s="40" t="s">
        <v>50</v>
      </c>
      <c r="V11" s="40" t="s">
        <v>50</v>
      </c>
      <c r="W11" s="40" t="s">
        <v>50</v>
      </c>
      <c r="X11" s="40" t="s">
        <v>51</v>
      </c>
      <c r="Y11" s="40" t="s">
        <v>52</v>
      </c>
      <c r="Z11" s="40" t="s">
        <v>51</v>
      </c>
      <c r="AA11" s="40" t="s">
        <v>51</v>
      </c>
      <c r="AB11" s="40" t="s">
        <v>50</v>
      </c>
      <c r="AC11" s="40" t="s">
        <v>51</v>
      </c>
      <c r="AD11" s="40" t="s">
        <v>50</v>
      </c>
      <c r="AE11" s="40" t="s">
        <v>50</v>
      </c>
      <c r="AF11" s="40" t="s">
        <v>50</v>
      </c>
      <c r="AG11" s="40" t="s">
        <v>53</v>
      </c>
      <c r="AH11" s="50" t="s">
        <v>53</v>
      </c>
      <c r="AI11" s="100" t="s">
        <v>50</v>
      </c>
      <c r="AK11" s="40" t="s">
        <v>53</v>
      </c>
      <c r="AL11" s="40" t="s">
        <v>50</v>
      </c>
      <c r="AM11" s="40" t="s">
        <v>52</v>
      </c>
      <c r="AN11" s="40" t="s">
        <v>51</v>
      </c>
    </row>
    <row r="12" spans="1:40" ht="18" customHeight="1" x14ac:dyDescent="0.3">
      <c r="A12" s="6" t="s">
        <v>155</v>
      </c>
      <c r="B12" s="31">
        <v>33</v>
      </c>
      <c r="C12" s="8" t="s">
        <v>54</v>
      </c>
      <c r="D12" s="36">
        <f>0.31*D5*SQRT(D6)*POWER(D10,8/3)</f>
        <v>0</v>
      </c>
      <c r="E12" s="34" t="s">
        <v>7</v>
      </c>
      <c r="F12" s="35"/>
      <c r="G12" s="9"/>
      <c r="H12" s="34"/>
      <c r="I12" s="16"/>
      <c r="J12" s="31">
        <v>29</v>
      </c>
      <c r="K12" s="8" t="s">
        <v>54</v>
      </c>
      <c r="L12" s="36" t="e">
        <f>AH372</f>
        <v>#DIV/0!</v>
      </c>
      <c r="M12" s="34" t="s">
        <v>7</v>
      </c>
      <c r="N12" s="35"/>
      <c r="O12" s="9"/>
      <c r="P12" s="34"/>
      <c r="R12" s="51">
        <v>0</v>
      </c>
      <c r="S12" s="38">
        <f>2*R12</f>
        <v>0</v>
      </c>
      <c r="T12" s="52">
        <f t="shared" ref="T12:T75" si="0">S12*(PI()/180)</f>
        <v>0</v>
      </c>
      <c r="U12" s="52">
        <f>SIN(T12/2)</f>
        <v>0</v>
      </c>
      <c r="V12" s="52">
        <f>SIN(T12)</f>
        <v>0</v>
      </c>
      <c r="W12" s="52">
        <f>COS(T12/2)</f>
        <v>1</v>
      </c>
      <c r="X12" s="52">
        <f>2*$W$4*U12</f>
        <v>0</v>
      </c>
      <c r="Y12" s="15">
        <f t="shared" ref="Y12:Y75" si="1">0.5*$W$4^2*(T12-V12)</f>
        <v>0</v>
      </c>
      <c r="Z12" s="52">
        <f t="shared" ref="Z12:Z75" si="2">$W$4*(1-W12)</f>
        <v>0</v>
      </c>
      <c r="AA12" s="52">
        <f t="shared" ref="AA12:AA75" si="3">$W$4*T12</f>
        <v>0</v>
      </c>
      <c r="AB12" s="15" t="e">
        <f t="shared" ref="AB12:AB75" si="4">Z12/$W$5</f>
        <v>#DIV/0!</v>
      </c>
      <c r="AC12" s="15">
        <v>0</v>
      </c>
      <c r="AD12" s="15" t="e">
        <f t="shared" ref="AD12:AD75" si="5">(POWER(AC12,2/3)*Y12)/(POWER($W$8,2/3)*$W$6)</f>
        <v>#DIV/0!</v>
      </c>
      <c r="AE12" s="15" t="e">
        <f t="shared" ref="AE12:AE75" si="6">SQRT(AC12/$W$8)*POWER(AC12/$W$8,1/8)</f>
        <v>#DIV/0!</v>
      </c>
      <c r="AF12" s="15" t="e">
        <f t="shared" ref="AF12:AF75" si="7">AE12*(Y12/$W$6)</f>
        <v>#DIV/0!</v>
      </c>
      <c r="AG12" s="15">
        <f t="shared" ref="AG12:AG75" si="8">Y12*$D$5*SQRT($D$6)*POWER(AC12,2/3)</f>
        <v>0</v>
      </c>
      <c r="AH12" s="53" t="e">
        <f t="shared" ref="AH12:AH75" si="9">-2*SQRT(8*9.81)*SQRT(AC12*$D$6)*LOG10(($AA$4/(3.71*4*AC12))+((2.51*$AA$5)/(4*AC12*SQRT(8*9.81)*SQRT(AC12*$D$6))))*Y12</f>
        <v>#DIV/0!</v>
      </c>
      <c r="AI12" s="101">
        <v>0</v>
      </c>
      <c r="AJ12" s="15"/>
      <c r="AK12" s="15" t="e">
        <f>AH12</f>
        <v>#DIV/0!</v>
      </c>
      <c r="AL12" s="15" t="e">
        <f>AB12</f>
        <v>#DIV/0!</v>
      </c>
      <c r="AM12" s="15">
        <f>Y12</f>
        <v>0</v>
      </c>
      <c r="AN12" s="15">
        <f>AC12</f>
        <v>0</v>
      </c>
    </row>
    <row r="13" spans="1:40" ht="16.5" customHeight="1" x14ac:dyDescent="0.3">
      <c r="A13" s="6" t="s">
        <v>55</v>
      </c>
      <c r="B13" s="31">
        <v>37</v>
      </c>
      <c r="C13" s="8" t="s">
        <v>56</v>
      </c>
      <c r="D13" s="36" t="e">
        <f>D3/(D5*SQRT(D6)*POWER(D10,8/3))</f>
        <v>#DIV/0!</v>
      </c>
      <c r="E13" s="34" t="s">
        <v>20</v>
      </c>
      <c r="F13" s="54" t="s">
        <v>57</v>
      </c>
      <c r="G13" s="36" t="e">
        <f>D4/(D5*SQRT(D6)*POWER(D10,8/3))</f>
        <v>#DIV/0!</v>
      </c>
      <c r="H13" s="34" t="s">
        <v>20</v>
      </c>
      <c r="I13" s="16"/>
      <c r="J13" s="31"/>
      <c r="K13" s="8"/>
      <c r="L13" s="36"/>
      <c r="M13" s="34"/>
      <c r="N13" s="54"/>
      <c r="O13" s="36"/>
      <c r="P13" s="34"/>
      <c r="R13" s="51">
        <v>0.5</v>
      </c>
      <c r="S13" s="38">
        <f t="shared" ref="S13:S76" si="10">2*R13</f>
        <v>1</v>
      </c>
      <c r="T13" s="52">
        <f>S13*(PI()/180)</f>
        <v>1.7453292519943295E-2</v>
      </c>
      <c r="U13" s="52">
        <f>SIN(T13/2)</f>
        <v>8.7265354983739347E-3</v>
      </c>
      <c r="V13" s="52">
        <f>SIN(T13)</f>
        <v>1.7452406437283512E-2</v>
      </c>
      <c r="W13" s="52">
        <f t="shared" ref="W13:W76" si="11">COS(T13/2)</f>
        <v>0.99996192306417131</v>
      </c>
      <c r="X13" s="52">
        <f t="shared" ref="X13:X76" si="12">2*$W$4*U13</f>
        <v>0</v>
      </c>
      <c r="Y13" s="15">
        <f>0.5*$W$4^2*(T13-V13)</f>
        <v>0</v>
      </c>
      <c r="Z13" s="52">
        <f t="shared" si="2"/>
        <v>0</v>
      </c>
      <c r="AA13" s="52">
        <f t="shared" si="3"/>
        <v>0</v>
      </c>
      <c r="AB13" s="15" t="e">
        <f t="shared" si="4"/>
        <v>#DIV/0!</v>
      </c>
      <c r="AC13" s="15" t="e">
        <f t="shared" ref="AC13:AC76" si="13">Y13/AA13</f>
        <v>#DIV/0!</v>
      </c>
      <c r="AD13" s="15" t="e">
        <f t="shared" si="5"/>
        <v>#DIV/0!</v>
      </c>
      <c r="AE13" s="15" t="e">
        <f t="shared" si="6"/>
        <v>#DIV/0!</v>
      </c>
      <c r="AF13" s="15" t="e">
        <f t="shared" si="7"/>
        <v>#DIV/0!</v>
      </c>
      <c r="AG13" s="15" t="e">
        <f t="shared" si="8"/>
        <v>#DIV/0!</v>
      </c>
      <c r="AH13" s="53" t="e">
        <f t="shared" si="9"/>
        <v>#DIV/0!</v>
      </c>
      <c r="AI13" s="102" t="e">
        <f t="shared" ref="AI13:AI76" si="14">SQRT((AH13^2*X13)/(9.81*Y13^3))</f>
        <v>#DIV/0!</v>
      </c>
      <c r="AJ13" s="15"/>
      <c r="AK13" s="15" t="e">
        <f t="shared" ref="AK13:AK37" si="15">AH13</f>
        <v>#DIV/0!</v>
      </c>
      <c r="AL13" s="15" t="e">
        <f t="shared" ref="AL13:AL37" si="16">AB13</f>
        <v>#DIV/0!</v>
      </c>
      <c r="AM13" s="15">
        <f t="shared" ref="AM13:AM76" si="17">Y13</f>
        <v>0</v>
      </c>
      <c r="AN13" s="15" t="e">
        <f t="shared" ref="AN13:AN76" si="18">AC13</f>
        <v>#DIV/0!</v>
      </c>
    </row>
    <row r="14" spans="1:40" ht="16.2" x14ac:dyDescent="0.3">
      <c r="A14" s="41" t="s">
        <v>58</v>
      </c>
      <c r="B14" s="31">
        <v>38</v>
      </c>
      <c r="C14" s="42" t="s">
        <v>59</v>
      </c>
      <c r="D14" s="44" t="e">
        <f>0.926*SQRT(1-SQRT(1-3.11*D13))</f>
        <v>#DIV/0!</v>
      </c>
      <c r="E14" s="34" t="s">
        <v>20</v>
      </c>
      <c r="F14" s="54" t="s">
        <v>60</v>
      </c>
      <c r="G14" s="36" t="e">
        <f>0.926*SQRT(1-SQRT(1-3.11*G13))</f>
        <v>#DIV/0!</v>
      </c>
      <c r="H14" s="34" t="s">
        <v>20</v>
      </c>
      <c r="I14" s="16"/>
      <c r="J14" s="31" t="s">
        <v>61</v>
      </c>
      <c r="K14" s="42" t="s">
        <v>59</v>
      </c>
      <c r="L14" s="44" t="e">
        <f>VLOOKUP($L$3,$AK$13:$AL$371,2,TRUE)</f>
        <v>#N/A</v>
      </c>
      <c r="M14" s="34" t="s">
        <v>20</v>
      </c>
      <c r="N14" s="54" t="s">
        <v>60</v>
      </c>
      <c r="O14" s="36" t="e">
        <f>VLOOKUP($L$4,$AK$13:$AL$371,2,TRUE)</f>
        <v>#N/A</v>
      </c>
      <c r="P14" s="34" t="s">
        <v>20</v>
      </c>
      <c r="R14" s="51">
        <v>1</v>
      </c>
      <c r="S14" s="38">
        <f t="shared" si="10"/>
        <v>2</v>
      </c>
      <c r="T14" s="52">
        <f t="shared" si="0"/>
        <v>3.4906585039886591E-2</v>
      </c>
      <c r="U14" s="52">
        <f>SIN(T14/2)</f>
        <v>1.7452406437283512E-2</v>
      </c>
      <c r="V14" s="52">
        <f>SIN(T14)</f>
        <v>3.4899496702500969E-2</v>
      </c>
      <c r="W14" s="52">
        <f t="shared" si="11"/>
        <v>0.99984769515639127</v>
      </c>
      <c r="X14" s="52">
        <f t="shared" si="12"/>
        <v>0</v>
      </c>
      <c r="Y14" s="15">
        <f t="shared" si="1"/>
        <v>0</v>
      </c>
      <c r="Z14" s="52">
        <f t="shared" si="2"/>
        <v>0</v>
      </c>
      <c r="AA14" s="52">
        <f t="shared" si="3"/>
        <v>0</v>
      </c>
      <c r="AB14" s="15" t="e">
        <f t="shared" si="4"/>
        <v>#DIV/0!</v>
      </c>
      <c r="AC14" s="15" t="e">
        <f t="shared" si="13"/>
        <v>#DIV/0!</v>
      </c>
      <c r="AD14" s="15" t="e">
        <f t="shared" si="5"/>
        <v>#DIV/0!</v>
      </c>
      <c r="AE14" s="15" t="e">
        <f t="shared" si="6"/>
        <v>#DIV/0!</v>
      </c>
      <c r="AF14" s="15" t="e">
        <f t="shared" si="7"/>
        <v>#DIV/0!</v>
      </c>
      <c r="AG14" s="15" t="e">
        <f t="shared" si="8"/>
        <v>#DIV/0!</v>
      </c>
      <c r="AH14" s="53" t="e">
        <f t="shared" si="9"/>
        <v>#DIV/0!</v>
      </c>
      <c r="AI14" s="102" t="e">
        <f t="shared" si="14"/>
        <v>#DIV/0!</v>
      </c>
      <c r="AJ14" s="15"/>
      <c r="AK14" s="15" t="e">
        <f t="shared" si="15"/>
        <v>#DIV/0!</v>
      </c>
      <c r="AL14" s="15" t="e">
        <f t="shared" si="16"/>
        <v>#DIV/0!</v>
      </c>
      <c r="AM14" s="15">
        <f t="shared" si="17"/>
        <v>0</v>
      </c>
      <c r="AN14" s="15" t="e">
        <f t="shared" si="18"/>
        <v>#DIV/0!</v>
      </c>
    </row>
    <row r="15" spans="1:40" ht="15.6" x14ac:dyDescent="0.3">
      <c r="A15" s="6" t="s">
        <v>62</v>
      </c>
      <c r="B15" s="31"/>
      <c r="C15" s="8" t="s">
        <v>63</v>
      </c>
      <c r="D15" s="36" t="e">
        <f>D14*D10</f>
        <v>#DIV/0!</v>
      </c>
      <c r="E15" s="34" t="s">
        <v>11</v>
      </c>
      <c r="F15" s="8" t="s">
        <v>64</v>
      </c>
      <c r="G15" s="36" t="e">
        <f>G14*D10</f>
        <v>#DIV/0!</v>
      </c>
      <c r="H15" s="34" t="s">
        <v>11</v>
      </c>
      <c r="I15" s="16"/>
      <c r="J15" s="31" t="s">
        <v>61</v>
      </c>
      <c r="K15" s="8" t="s">
        <v>63</v>
      </c>
      <c r="L15" s="36" t="e">
        <f>L14*L10</f>
        <v>#N/A</v>
      </c>
      <c r="M15" s="34" t="s">
        <v>11</v>
      </c>
      <c r="N15" s="8" t="s">
        <v>64</v>
      </c>
      <c r="O15" s="36" t="e">
        <f>O14*L10</f>
        <v>#N/A</v>
      </c>
      <c r="P15" s="34" t="s">
        <v>11</v>
      </c>
      <c r="R15" s="51">
        <v>1.5</v>
      </c>
      <c r="S15" s="38">
        <f t="shared" si="10"/>
        <v>3</v>
      </c>
      <c r="T15" s="52">
        <f t="shared" si="0"/>
        <v>5.235987755982989E-2</v>
      </c>
      <c r="U15" s="52">
        <f t="shared" ref="U15:U78" si="19">SIN(T15/2)</f>
        <v>2.6176948307873153E-2</v>
      </c>
      <c r="V15" s="52">
        <f t="shared" ref="V15:V78" si="20">SIN(T15)</f>
        <v>5.2335956242943835E-2</v>
      </c>
      <c r="W15" s="52">
        <f>COS(T15/2)</f>
        <v>0.99965732497555726</v>
      </c>
      <c r="X15" s="52">
        <f t="shared" si="12"/>
        <v>0</v>
      </c>
      <c r="Y15" s="15">
        <f t="shared" si="1"/>
        <v>0</v>
      </c>
      <c r="Z15" s="52">
        <f t="shared" si="2"/>
        <v>0</v>
      </c>
      <c r="AA15" s="52">
        <f t="shared" si="3"/>
        <v>0</v>
      </c>
      <c r="AB15" s="15" t="e">
        <f t="shared" si="4"/>
        <v>#DIV/0!</v>
      </c>
      <c r="AC15" s="15" t="e">
        <f t="shared" si="13"/>
        <v>#DIV/0!</v>
      </c>
      <c r="AD15" s="15" t="e">
        <f>(POWER(AC15,2/3)*Y15)/(POWER($W$8,2/3)*$W$6)</f>
        <v>#DIV/0!</v>
      </c>
      <c r="AE15" s="15" t="e">
        <f t="shared" si="6"/>
        <v>#DIV/0!</v>
      </c>
      <c r="AF15" s="15" t="e">
        <f t="shared" si="7"/>
        <v>#DIV/0!</v>
      </c>
      <c r="AG15" s="15" t="e">
        <f t="shared" si="8"/>
        <v>#DIV/0!</v>
      </c>
      <c r="AH15" s="53" t="e">
        <f t="shared" si="9"/>
        <v>#DIV/0!</v>
      </c>
      <c r="AI15" s="102" t="e">
        <f t="shared" si="14"/>
        <v>#DIV/0!</v>
      </c>
      <c r="AJ15" s="15"/>
      <c r="AK15" s="15" t="e">
        <f t="shared" si="15"/>
        <v>#DIV/0!</v>
      </c>
      <c r="AL15" s="15" t="e">
        <f t="shared" si="16"/>
        <v>#DIV/0!</v>
      </c>
      <c r="AM15" s="15">
        <f t="shared" si="17"/>
        <v>0</v>
      </c>
      <c r="AN15" s="15" t="e">
        <f t="shared" si="18"/>
        <v>#DIV/0!</v>
      </c>
    </row>
    <row r="16" spans="1:40" ht="16.2" x14ac:dyDescent="0.3">
      <c r="A16" s="6" t="s">
        <v>65</v>
      </c>
      <c r="B16" s="31">
        <v>39</v>
      </c>
      <c r="C16" s="8" t="s">
        <v>66</v>
      </c>
      <c r="D16" s="36" t="e">
        <f>(D10^2)*(4/3)*POWER(D14,3/2)*(1-(D14/4)-((4*(D14^2))/25))</f>
        <v>#DIV/0!</v>
      </c>
      <c r="E16" s="34" t="s">
        <v>22</v>
      </c>
      <c r="F16" s="54" t="s">
        <v>67</v>
      </c>
      <c r="G16" s="36" t="e">
        <f>(D10^2)*(4/3)*POWER(G14,3/2)*(1-(G14/4)-((4*(G14^2))/25))</f>
        <v>#DIV/0!</v>
      </c>
      <c r="H16" s="34" t="s">
        <v>22</v>
      </c>
      <c r="I16" s="16"/>
      <c r="J16" s="31" t="s">
        <v>61</v>
      </c>
      <c r="K16" s="8" t="s">
        <v>66</v>
      </c>
      <c r="L16" s="36" t="e">
        <f>VLOOKUP($L$3,$AK$11:$AM$371,3,TRUE)</f>
        <v>#N/A</v>
      </c>
      <c r="M16" s="34" t="s">
        <v>22</v>
      </c>
      <c r="N16" s="54" t="s">
        <v>67</v>
      </c>
      <c r="O16" s="36" t="e">
        <f>VLOOKUP($L$4,$AK$13:$AM$371,3,TRUE)</f>
        <v>#N/A</v>
      </c>
      <c r="P16" s="34" t="s">
        <v>22</v>
      </c>
      <c r="R16" s="51">
        <v>2</v>
      </c>
      <c r="S16" s="38">
        <f t="shared" si="10"/>
        <v>4</v>
      </c>
      <c r="T16" s="52">
        <f t="shared" si="0"/>
        <v>6.9813170079773182E-2</v>
      </c>
      <c r="U16" s="52">
        <f t="shared" si="19"/>
        <v>3.4899496702500969E-2</v>
      </c>
      <c r="V16" s="52">
        <f t="shared" si="20"/>
        <v>6.9756473744125302E-2</v>
      </c>
      <c r="W16" s="52">
        <f t="shared" si="11"/>
        <v>0.99939082701909576</v>
      </c>
      <c r="X16" s="52">
        <f t="shared" si="12"/>
        <v>0</v>
      </c>
      <c r="Y16" s="15">
        <f t="shared" si="1"/>
        <v>0</v>
      </c>
      <c r="Z16" s="52">
        <f t="shared" si="2"/>
        <v>0</v>
      </c>
      <c r="AA16" s="52">
        <f>$W$4*T16</f>
        <v>0</v>
      </c>
      <c r="AB16" s="15" t="e">
        <f t="shared" si="4"/>
        <v>#DIV/0!</v>
      </c>
      <c r="AC16" s="15" t="e">
        <f t="shared" si="13"/>
        <v>#DIV/0!</v>
      </c>
      <c r="AD16" s="15" t="e">
        <f t="shared" si="5"/>
        <v>#DIV/0!</v>
      </c>
      <c r="AE16" s="15" t="e">
        <f t="shared" si="6"/>
        <v>#DIV/0!</v>
      </c>
      <c r="AF16" s="15" t="e">
        <f t="shared" si="7"/>
        <v>#DIV/0!</v>
      </c>
      <c r="AG16" s="15" t="e">
        <f t="shared" si="8"/>
        <v>#DIV/0!</v>
      </c>
      <c r="AH16" s="53" t="e">
        <f t="shared" si="9"/>
        <v>#DIV/0!</v>
      </c>
      <c r="AI16" s="102" t="e">
        <f t="shared" si="14"/>
        <v>#DIV/0!</v>
      </c>
      <c r="AJ16" s="15"/>
      <c r="AK16" s="15" t="e">
        <f t="shared" si="15"/>
        <v>#DIV/0!</v>
      </c>
      <c r="AL16" s="15" t="e">
        <f t="shared" si="16"/>
        <v>#DIV/0!</v>
      </c>
      <c r="AM16" s="15">
        <f t="shared" si="17"/>
        <v>0</v>
      </c>
      <c r="AN16" s="15" t="e">
        <f t="shared" si="18"/>
        <v>#DIV/0!</v>
      </c>
    </row>
    <row r="17" spans="1:40" ht="16.2" x14ac:dyDescent="0.3">
      <c r="A17" s="6" t="s">
        <v>220</v>
      </c>
      <c r="B17" s="31"/>
      <c r="C17" s="8" t="s">
        <v>68</v>
      </c>
      <c r="D17" s="36" t="e">
        <f>D3/D16</f>
        <v>#DIV/0!</v>
      </c>
      <c r="E17" s="34" t="s">
        <v>69</v>
      </c>
      <c r="F17" s="55" t="s">
        <v>70</v>
      </c>
      <c r="G17" s="44" t="e">
        <f>D4/G16</f>
        <v>#DIV/0!</v>
      </c>
      <c r="H17" s="34" t="s">
        <v>69</v>
      </c>
      <c r="I17" s="16"/>
      <c r="J17" s="31"/>
      <c r="K17" s="8" t="s">
        <v>68</v>
      </c>
      <c r="L17" s="36" t="e">
        <f>L3/L16</f>
        <v>#N/A</v>
      </c>
      <c r="M17" s="34" t="s">
        <v>69</v>
      </c>
      <c r="N17" s="55" t="s">
        <v>70</v>
      </c>
      <c r="O17" s="44" t="e">
        <f>L4/O16</f>
        <v>#N/A</v>
      </c>
      <c r="P17" s="118" t="s">
        <v>69</v>
      </c>
      <c r="R17" s="51">
        <v>2.5</v>
      </c>
      <c r="S17" s="38">
        <f t="shared" si="10"/>
        <v>5</v>
      </c>
      <c r="T17" s="52">
        <f t="shared" si="0"/>
        <v>8.7266462599716474E-2</v>
      </c>
      <c r="U17" s="52">
        <f t="shared" si="19"/>
        <v>4.3619387365336E-2</v>
      </c>
      <c r="V17" s="52">
        <f t="shared" si="20"/>
        <v>8.7155742747658166E-2</v>
      </c>
      <c r="W17" s="52">
        <f t="shared" si="11"/>
        <v>0.9990482215818578</v>
      </c>
      <c r="X17" s="52">
        <f t="shared" si="12"/>
        <v>0</v>
      </c>
      <c r="Y17" s="15">
        <f t="shared" si="1"/>
        <v>0</v>
      </c>
      <c r="Z17" s="52">
        <f t="shared" si="2"/>
        <v>0</v>
      </c>
      <c r="AA17" s="52">
        <f t="shared" si="3"/>
        <v>0</v>
      </c>
      <c r="AB17" s="15" t="e">
        <f t="shared" si="4"/>
        <v>#DIV/0!</v>
      </c>
      <c r="AC17" s="15" t="e">
        <f>Y17/AA17</f>
        <v>#DIV/0!</v>
      </c>
      <c r="AD17" s="15" t="e">
        <f t="shared" si="5"/>
        <v>#DIV/0!</v>
      </c>
      <c r="AE17" s="15" t="e">
        <f t="shared" si="6"/>
        <v>#DIV/0!</v>
      </c>
      <c r="AF17" s="15" t="e">
        <f t="shared" si="7"/>
        <v>#DIV/0!</v>
      </c>
      <c r="AG17" s="15" t="e">
        <f t="shared" si="8"/>
        <v>#DIV/0!</v>
      </c>
      <c r="AH17" s="53" t="e">
        <f t="shared" si="9"/>
        <v>#DIV/0!</v>
      </c>
      <c r="AI17" s="102" t="e">
        <f t="shared" si="14"/>
        <v>#DIV/0!</v>
      </c>
      <c r="AJ17" s="15"/>
      <c r="AK17" s="15" t="e">
        <f t="shared" si="15"/>
        <v>#DIV/0!</v>
      </c>
      <c r="AL17" s="15" t="e">
        <f t="shared" si="16"/>
        <v>#DIV/0!</v>
      </c>
      <c r="AM17" s="15">
        <f t="shared" si="17"/>
        <v>0</v>
      </c>
      <c r="AN17" s="15" t="e">
        <f t="shared" si="18"/>
        <v>#DIV/0!</v>
      </c>
    </row>
    <row r="18" spans="1:40" ht="15.6" x14ac:dyDescent="0.3">
      <c r="A18" s="6" t="s">
        <v>71</v>
      </c>
      <c r="B18" s="31">
        <v>41</v>
      </c>
      <c r="C18" s="8" t="s">
        <v>72</v>
      </c>
      <c r="D18" s="36" t="e">
        <f>D10*(2/3)*D14*(1-(0.5*D14))</f>
        <v>#DIV/0!</v>
      </c>
      <c r="E18" s="34" t="s">
        <v>11</v>
      </c>
      <c r="F18" s="54" t="s">
        <v>73</v>
      </c>
      <c r="G18" s="36" t="e">
        <f>D10*(2/3)*G14*(1-(0.5*G14))</f>
        <v>#DIV/0!</v>
      </c>
      <c r="H18" s="34" t="s">
        <v>11</v>
      </c>
      <c r="I18" s="16"/>
      <c r="J18" s="31" t="s">
        <v>61</v>
      </c>
      <c r="K18" s="8" t="s">
        <v>72</v>
      </c>
      <c r="L18" s="36" t="e">
        <f>VLOOKUP($L$3,$AK$13:$AN$371,4,TRUE)</f>
        <v>#N/A</v>
      </c>
      <c r="M18" s="34" t="s">
        <v>11</v>
      </c>
      <c r="N18" s="54" t="s">
        <v>74</v>
      </c>
      <c r="O18" s="36" t="e">
        <f>VLOOKUP($L$4,$AK$13:$AN$371,4,TRUE)</f>
        <v>#N/A</v>
      </c>
      <c r="P18" s="34" t="s">
        <v>11</v>
      </c>
      <c r="R18" s="51">
        <v>3</v>
      </c>
      <c r="S18" s="38">
        <f t="shared" si="10"/>
        <v>6</v>
      </c>
      <c r="T18" s="52">
        <f t="shared" si="0"/>
        <v>0.10471975511965978</v>
      </c>
      <c r="U18" s="52">
        <f t="shared" si="19"/>
        <v>5.2335956242943835E-2</v>
      </c>
      <c r="V18" s="52">
        <f t="shared" si="20"/>
        <v>0.10452846326765347</v>
      </c>
      <c r="W18" s="52">
        <f t="shared" si="11"/>
        <v>0.99862953475457383</v>
      </c>
      <c r="X18" s="52">
        <f t="shared" si="12"/>
        <v>0</v>
      </c>
      <c r="Y18" s="15">
        <f t="shared" si="1"/>
        <v>0</v>
      </c>
      <c r="Z18" s="52">
        <f>$W$4*(1-W18)</f>
        <v>0</v>
      </c>
      <c r="AA18" s="52">
        <f t="shared" si="3"/>
        <v>0</v>
      </c>
      <c r="AB18" s="15" t="e">
        <f t="shared" si="4"/>
        <v>#DIV/0!</v>
      </c>
      <c r="AC18" s="15" t="e">
        <f t="shared" si="13"/>
        <v>#DIV/0!</v>
      </c>
      <c r="AD18" s="15" t="e">
        <f t="shared" si="5"/>
        <v>#DIV/0!</v>
      </c>
      <c r="AE18" s="15" t="e">
        <f t="shared" si="6"/>
        <v>#DIV/0!</v>
      </c>
      <c r="AF18" s="15" t="e">
        <f t="shared" si="7"/>
        <v>#DIV/0!</v>
      </c>
      <c r="AG18" s="15" t="e">
        <f t="shared" si="8"/>
        <v>#DIV/0!</v>
      </c>
      <c r="AH18" s="53" t="e">
        <f t="shared" si="9"/>
        <v>#DIV/0!</v>
      </c>
      <c r="AI18" s="102" t="e">
        <f t="shared" si="14"/>
        <v>#DIV/0!</v>
      </c>
      <c r="AJ18" s="15"/>
      <c r="AK18" s="15" t="e">
        <f t="shared" si="15"/>
        <v>#DIV/0!</v>
      </c>
      <c r="AL18" s="15" t="e">
        <f t="shared" si="16"/>
        <v>#DIV/0!</v>
      </c>
      <c r="AM18" s="15">
        <f t="shared" si="17"/>
        <v>0</v>
      </c>
      <c r="AN18" s="15" t="e">
        <f t="shared" si="18"/>
        <v>#DIV/0!</v>
      </c>
    </row>
    <row r="19" spans="1:40" ht="16.2" x14ac:dyDescent="0.3">
      <c r="A19" s="41" t="s">
        <v>444</v>
      </c>
      <c r="B19" s="31">
        <v>4</v>
      </c>
      <c r="C19" s="56" t="s">
        <v>75</v>
      </c>
      <c r="D19" s="44" t="e">
        <f>D3/SQRT(9.81*D10*D15^4)</f>
        <v>#DIV/0!</v>
      </c>
      <c r="E19" s="34" t="s">
        <v>20</v>
      </c>
      <c r="F19" s="35"/>
      <c r="G19" s="9"/>
      <c r="H19" s="34"/>
      <c r="I19" s="16"/>
      <c r="J19" s="31">
        <v>3</v>
      </c>
      <c r="K19" s="56" t="s">
        <v>75</v>
      </c>
      <c r="L19" s="44" t="e">
        <f>VLOOKUP($L$3,$AH$13:$AI$371,2,TRUE)</f>
        <v>#N/A</v>
      </c>
      <c r="M19" s="34" t="s">
        <v>20</v>
      </c>
      <c r="N19" s="35"/>
      <c r="O19" s="9"/>
      <c r="P19" s="34"/>
      <c r="R19" s="51">
        <v>3.5</v>
      </c>
      <c r="S19" s="38">
        <f t="shared" si="10"/>
        <v>7</v>
      </c>
      <c r="T19" s="52">
        <f t="shared" si="0"/>
        <v>0.12217304763960307</v>
      </c>
      <c r="U19" s="52">
        <f t="shared" si="19"/>
        <v>6.1048539534856873E-2</v>
      </c>
      <c r="V19" s="52">
        <f t="shared" si="20"/>
        <v>0.12186934340514748</v>
      </c>
      <c r="W19" s="52">
        <f t="shared" si="11"/>
        <v>0.99813479842186692</v>
      </c>
      <c r="X19" s="52">
        <f t="shared" si="12"/>
        <v>0</v>
      </c>
      <c r="Y19" s="15">
        <f t="shared" si="1"/>
        <v>0</v>
      </c>
      <c r="Z19" s="52">
        <f t="shared" si="2"/>
        <v>0</v>
      </c>
      <c r="AA19" s="52">
        <f t="shared" si="3"/>
        <v>0</v>
      </c>
      <c r="AB19" s="15" t="e">
        <f t="shared" si="4"/>
        <v>#DIV/0!</v>
      </c>
      <c r="AC19" s="15" t="e">
        <f t="shared" si="13"/>
        <v>#DIV/0!</v>
      </c>
      <c r="AD19" s="15" t="e">
        <f t="shared" si="5"/>
        <v>#DIV/0!</v>
      </c>
      <c r="AE19" s="15" t="e">
        <f t="shared" si="6"/>
        <v>#DIV/0!</v>
      </c>
      <c r="AF19" s="15" t="e">
        <f t="shared" si="7"/>
        <v>#DIV/0!</v>
      </c>
      <c r="AG19" s="15" t="e">
        <f t="shared" si="8"/>
        <v>#DIV/0!</v>
      </c>
      <c r="AH19" s="53" t="e">
        <f t="shared" si="9"/>
        <v>#DIV/0!</v>
      </c>
      <c r="AI19" s="102" t="e">
        <f t="shared" si="14"/>
        <v>#DIV/0!</v>
      </c>
      <c r="AJ19" s="15"/>
      <c r="AK19" s="15" t="e">
        <f t="shared" si="15"/>
        <v>#DIV/0!</v>
      </c>
      <c r="AL19" s="15" t="e">
        <f t="shared" si="16"/>
        <v>#DIV/0!</v>
      </c>
      <c r="AM19" s="15">
        <f t="shared" si="17"/>
        <v>0</v>
      </c>
      <c r="AN19" s="15" t="e">
        <f t="shared" si="18"/>
        <v>#DIV/0!</v>
      </c>
    </row>
    <row r="20" spans="1:40" ht="16.2" x14ac:dyDescent="0.3">
      <c r="A20" s="6" t="s">
        <v>446</v>
      </c>
      <c r="B20" s="31">
        <v>50</v>
      </c>
      <c r="C20" s="42" t="s">
        <v>445</v>
      </c>
      <c r="D20" s="44" t="e">
        <f>D19*D14</f>
        <v>#DIV/0!</v>
      </c>
      <c r="E20" s="34" t="s">
        <v>20</v>
      </c>
      <c r="F20" s="35"/>
      <c r="G20" s="55"/>
      <c r="H20" s="57"/>
      <c r="I20" s="58"/>
      <c r="J20" s="31">
        <v>50</v>
      </c>
      <c r="K20" s="42" t="s">
        <v>76</v>
      </c>
      <c r="L20" s="44" t="e">
        <f>L19*L14</f>
        <v>#N/A</v>
      </c>
      <c r="M20" s="34" t="s">
        <v>20</v>
      </c>
      <c r="N20" s="35"/>
      <c r="O20" s="55"/>
      <c r="P20" s="57"/>
      <c r="R20" s="51">
        <v>4</v>
      </c>
      <c r="S20" s="38">
        <f t="shared" si="10"/>
        <v>8</v>
      </c>
      <c r="T20" s="52">
        <f t="shared" si="0"/>
        <v>0.13962634015954636</v>
      </c>
      <c r="U20" s="52">
        <f t="shared" si="19"/>
        <v>6.9756473744125302E-2</v>
      </c>
      <c r="V20" s="52">
        <f t="shared" si="20"/>
        <v>0.13917310096006544</v>
      </c>
      <c r="W20" s="52">
        <f t="shared" si="11"/>
        <v>0.9975640502598242</v>
      </c>
      <c r="X20" s="52">
        <f t="shared" si="12"/>
        <v>0</v>
      </c>
      <c r="Y20" s="15">
        <f t="shared" si="1"/>
        <v>0</v>
      </c>
      <c r="Z20" s="52">
        <f t="shared" si="2"/>
        <v>0</v>
      </c>
      <c r="AA20" s="52">
        <f t="shared" si="3"/>
        <v>0</v>
      </c>
      <c r="AB20" s="15" t="e">
        <f t="shared" si="4"/>
        <v>#DIV/0!</v>
      </c>
      <c r="AC20" s="15" t="e">
        <f t="shared" si="13"/>
        <v>#DIV/0!</v>
      </c>
      <c r="AD20" s="15" t="e">
        <f t="shared" si="5"/>
        <v>#DIV/0!</v>
      </c>
      <c r="AE20" s="15" t="e">
        <f t="shared" si="6"/>
        <v>#DIV/0!</v>
      </c>
      <c r="AF20" s="15" t="e">
        <f t="shared" si="7"/>
        <v>#DIV/0!</v>
      </c>
      <c r="AG20" s="15" t="e">
        <f t="shared" si="8"/>
        <v>#DIV/0!</v>
      </c>
      <c r="AH20" s="53" t="e">
        <f t="shared" si="9"/>
        <v>#DIV/0!</v>
      </c>
      <c r="AI20" s="102" t="e">
        <f t="shared" si="14"/>
        <v>#DIV/0!</v>
      </c>
      <c r="AJ20" s="15"/>
      <c r="AK20" s="15" t="e">
        <f t="shared" si="15"/>
        <v>#DIV/0!</v>
      </c>
      <c r="AL20" s="15" t="e">
        <f t="shared" si="16"/>
        <v>#DIV/0!</v>
      </c>
      <c r="AM20" s="15">
        <f t="shared" si="17"/>
        <v>0</v>
      </c>
      <c r="AN20" s="15" t="e">
        <f t="shared" si="18"/>
        <v>#DIV/0!</v>
      </c>
    </row>
    <row r="21" spans="1:40" s="94" customFormat="1" ht="16.2" x14ac:dyDescent="0.3">
      <c r="A21" s="85" t="s">
        <v>503</v>
      </c>
      <c r="B21" s="86" t="s">
        <v>77</v>
      </c>
      <c r="C21" s="87" t="s">
        <v>221</v>
      </c>
      <c r="D21" s="88">
        <f>IF(D6&lt;0.0125,0.92-30*D6,0.55)</f>
        <v>0.92</v>
      </c>
      <c r="E21" s="89"/>
      <c r="F21" s="90"/>
      <c r="G21" s="91"/>
      <c r="H21" s="92"/>
      <c r="I21" s="93"/>
      <c r="J21" s="86" t="s">
        <v>77</v>
      </c>
      <c r="K21" s="87" t="s">
        <v>221</v>
      </c>
      <c r="L21" s="88">
        <f>IF(L6&lt;0.0125,0.92-30*L6,0.55)</f>
        <v>0.92</v>
      </c>
      <c r="M21" s="89"/>
      <c r="N21" s="90"/>
      <c r="O21" s="91"/>
      <c r="P21" s="92"/>
      <c r="R21" s="95">
        <v>4.5</v>
      </c>
      <c r="S21" s="96">
        <f t="shared" si="10"/>
        <v>9</v>
      </c>
      <c r="T21" s="84">
        <f t="shared" si="0"/>
        <v>0.15707963267948966</v>
      </c>
      <c r="U21" s="84">
        <f t="shared" si="19"/>
        <v>7.8459095727844944E-2</v>
      </c>
      <c r="V21" s="84">
        <f t="shared" si="20"/>
        <v>0.15643446504023087</v>
      </c>
      <c r="W21" s="84">
        <f t="shared" si="11"/>
        <v>0.99691733373312796</v>
      </c>
      <c r="X21" s="84">
        <f t="shared" si="12"/>
        <v>0</v>
      </c>
      <c r="Y21" s="97">
        <f t="shared" si="1"/>
        <v>0</v>
      </c>
      <c r="Z21" s="84">
        <f t="shared" si="2"/>
        <v>0</v>
      </c>
      <c r="AA21" s="84">
        <f t="shared" si="3"/>
        <v>0</v>
      </c>
      <c r="AB21" s="97" t="e">
        <f t="shared" si="4"/>
        <v>#DIV/0!</v>
      </c>
      <c r="AC21" s="97" t="e">
        <f t="shared" si="13"/>
        <v>#DIV/0!</v>
      </c>
      <c r="AD21" s="97" t="e">
        <f t="shared" si="5"/>
        <v>#DIV/0!</v>
      </c>
      <c r="AE21" s="97" t="e">
        <f t="shared" si="6"/>
        <v>#DIV/0!</v>
      </c>
      <c r="AF21" s="97" t="e">
        <f t="shared" si="7"/>
        <v>#DIV/0!</v>
      </c>
      <c r="AG21" s="97" t="e">
        <f t="shared" si="8"/>
        <v>#DIV/0!</v>
      </c>
      <c r="AH21" s="98" t="e">
        <f t="shared" si="9"/>
        <v>#DIV/0!</v>
      </c>
      <c r="AI21" s="103" t="e">
        <f t="shared" si="14"/>
        <v>#DIV/0!</v>
      </c>
      <c r="AJ21" s="97"/>
      <c r="AK21" s="15" t="e">
        <f t="shared" si="15"/>
        <v>#DIV/0!</v>
      </c>
      <c r="AL21" s="15" t="e">
        <f t="shared" si="16"/>
        <v>#DIV/0!</v>
      </c>
      <c r="AM21" s="15">
        <f t="shared" si="17"/>
        <v>0</v>
      </c>
      <c r="AN21" s="15" t="e">
        <f t="shared" si="18"/>
        <v>#DIV/0!</v>
      </c>
    </row>
    <row r="22" spans="1:40" ht="15.6" x14ac:dyDescent="0.3">
      <c r="A22" s="6" t="s">
        <v>78</v>
      </c>
      <c r="B22" s="31">
        <v>42</v>
      </c>
      <c r="C22" s="8" t="s">
        <v>79</v>
      </c>
      <c r="D22" s="36">
        <f>(D5*SQRT(D6)*POWER(D10,1/6))/SQRT(9.81)</f>
        <v>0</v>
      </c>
      <c r="E22" s="34" t="s">
        <v>20</v>
      </c>
      <c r="F22" s="35"/>
      <c r="G22" s="54"/>
      <c r="H22" s="34"/>
      <c r="I22" s="16"/>
      <c r="J22" s="31">
        <v>42</v>
      </c>
      <c r="K22" s="8" t="s">
        <v>79</v>
      </c>
      <c r="L22" s="36">
        <f>(L5*SQRT(L6)*POWER(L10,1/6))/SQRT(9.81)</f>
        <v>0</v>
      </c>
      <c r="M22" s="34" t="s">
        <v>20</v>
      </c>
      <c r="N22" s="35"/>
      <c r="O22" s="54"/>
      <c r="P22" s="34"/>
      <c r="R22" s="51">
        <v>5</v>
      </c>
      <c r="S22" s="38">
        <f t="shared" si="10"/>
        <v>10</v>
      </c>
      <c r="T22" s="52">
        <f t="shared" si="0"/>
        <v>0.17453292519943295</v>
      </c>
      <c r="U22" s="52">
        <f t="shared" si="19"/>
        <v>8.7155742747658166E-2</v>
      </c>
      <c r="V22" s="52">
        <f t="shared" si="20"/>
        <v>0.17364817766693033</v>
      </c>
      <c r="W22" s="52">
        <f t="shared" si="11"/>
        <v>0.99619469809174555</v>
      </c>
      <c r="X22" s="52">
        <f t="shared" si="12"/>
        <v>0</v>
      </c>
      <c r="Y22" s="15">
        <f t="shared" si="1"/>
        <v>0</v>
      </c>
      <c r="Z22" s="52">
        <f t="shared" si="2"/>
        <v>0</v>
      </c>
      <c r="AA22" s="52">
        <f t="shared" si="3"/>
        <v>0</v>
      </c>
      <c r="AB22" s="15" t="e">
        <f t="shared" si="4"/>
        <v>#DIV/0!</v>
      </c>
      <c r="AC22" s="15" t="e">
        <f t="shared" si="13"/>
        <v>#DIV/0!</v>
      </c>
      <c r="AD22" s="15" t="e">
        <f t="shared" si="5"/>
        <v>#DIV/0!</v>
      </c>
      <c r="AE22" s="15" t="e">
        <f t="shared" si="6"/>
        <v>#DIV/0!</v>
      </c>
      <c r="AF22" s="15" t="e">
        <f t="shared" si="7"/>
        <v>#DIV/0!</v>
      </c>
      <c r="AG22" s="15" t="e">
        <f t="shared" si="8"/>
        <v>#DIV/0!</v>
      </c>
      <c r="AH22" s="53" t="e">
        <f t="shared" si="9"/>
        <v>#DIV/0!</v>
      </c>
      <c r="AI22" s="102" t="e">
        <f t="shared" si="14"/>
        <v>#DIV/0!</v>
      </c>
      <c r="AJ22" s="15"/>
      <c r="AK22" s="15" t="e">
        <f t="shared" si="15"/>
        <v>#DIV/0!</v>
      </c>
      <c r="AL22" s="15" t="e">
        <f t="shared" si="16"/>
        <v>#DIV/0!</v>
      </c>
      <c r="AM22" s="15">
        <f t="shared" si="17"/>
        <v>0</v>
      </c>
      <c r="AN22" s="15" t="e">
        <f t="shared" si="18"/>
        <v>#DIV/0!</v>
      </c>
    </row>
    <row r="23" spans="1:40" ht="15.6" x14ac:dyDescent="0.3">
      <c r="A23" s="6" t="s">
        <v>447</v>
      </c>
      <c r="B23" s="31">
        <v>43</v>
      </c>
      <c r="C23" s="8" t="s">
        <v>80</v>
      </c>
      <c r="D23" s="36" t="e">
        <f>IF(D22&gt;8,D15*0.25*POWER((D5*D5*D6*POWER(D15,1/3))/9.81,1/3),D15)</f>
        <v>#DIV/0!</v>
      </c>
      <c r="E23" s="34" t="s">
        <v>11</v>
      </c>
      <c r="F23" s="35"/>
      <c r="G23" s="9"/>
      <c r="H23" s="34"/>
      <c r="I23" s="16"/>
      <c r="J23" s="31">
        <v>43</v>
      </c>
      <c r="K23" s="8" t="s">
        <v>80</v>
      </c>
      <c r="L23" s="36" t="e">
        <f>IF(L22&gt;8,L15*0.25*POWER((L5*L5*L6*POWER(L15,1/3))/9.81,1/3),L15)</f>
        <v>#N/A</v>
      </c>
      <c r="M23" s="34" t="s">
        <v>11</v>
      </c>
      <c r="N23" s="35"/>
      <c r="O23" s="9"/>
      <c r="P23" s="34"/>
      <c r="R23" s="51">
        <v>5.5</v>
      </c>
      <c r="S23" s="38">
        <f t="shared" si="10"/>
        <v>11</v>
      </c>
      <c r="T23" s="52">
        <f t="shared" si="0"/>
        <v>0.19198621771937624</v>
      </c>
      <c r="U23" s="52">
        <f t="shared" si="19"/>
        <v>9.5845752520223981E-2</v>
      </c>
      <c r="V23" s="52">
        <f t="shared" si="20"/>
        <v>0.1908089953765448</v>
      </c>
      <c r="W23" s="52">
        <f t="shared" si="11"/>
        <v>0.99539619836717885</v>
      </c>
      <c r="X23" s="52">
        <f t="shared" si="12"/>
        <v>0</v>
      </c>
      <c r="Y23" s="15">
        <f t="shared" si="1"/>
        <v>0</v>
      </c>
      <c r="Z23" s="52">
        <f t="shared" si="2"/>
        <v>0</v>
      </c>
      <c r="AA23" s="52">
        <f t="shared" si="3"/>
        <v>0</v>
      </c>
      <c r="AB23" s="15" t="e">
        <f t="shared" si="4"/>
        <v>#DIV/0!</v>
      </c>
      <c r="AC23" s="15" t="e">
        <f t="shared" si="13"/>
        <v>#DIV/0!</v>
      </c>
      <c r="AD23" s="15" t="e">
        <f t="shared" si="5"/>
        <v>#DIV/0!</v>
      </c>
      <c r="AE23" s="15" t="e">
        <f t="shared" si="6"/>
        <v>#DIV/0!</v>
      </c>
      <c r="AF23" s="15" t="e">
        <f t="shared" si="7"/>
        <v>#DIV/0!</v>
      </c>
      <c r="AG23" s="15" t="e">
        <f t="shared" si="8"/>
        <v>#DIV/0!</v>
      </c>
      <c r="AH23" s="53" t="e">
        <f t="shared" si="9"/>
        <v>#DIV/0!</v>
      </c>
      <c r="AI23" s="102" t="e">
        <f t="shared" si="14"/>
        <v>#DIV/0!</v>
      </c>
      <c r="AJ23" s="15"/>
      <c r="AK23" s="15" t="e">
        <f t="shared" si="15"/>
        <v>#DIV/0!</v>
      </c>
      <c r="AL23" s="15" t="e">
        <f t="shared" si="16"/>
        <v>#DIV/0!</v>
      </c>
      <c r="AM23" s="15">
        <f t="shared" si="17"/>
        <v>0</v>
      </c>
      <c r="AN23" s="15" t="e">
        <f t="shared" si="18"/>
        <v>#DIV/0!</v>
      </c>
    </row>
    <row r="24" spans="1:40" ht="16.2" x14ac:dyDescent="0.3">
      <c r="A24" s="6" t="s">
        <v>504</v>
      </c>
      <c r="B24" s="31"/>
      <c r="C24" s="42" t="s">
        <v>81</v>
      </c>
      <c r="D24" s="44" t="e">
        <f>D23/D10</f>
        <v>#DIV/0!</v>
      </c>
      <c r="E24" s="34" t="s">
        <v>20</v>
      </c>
      <c r="F24" s="35"/>
      <c r="G24" s="9"/>
      <c r="H24" s="34"/>
      <c r="I24" s="16"/>
      <c r="J24" s="31"/>
      <c r="K24" s="42" t="s">
        <v>81</v>
      </c>
      <c r="L24" s="44" t="e">
        <f>L23/L10</f>
        <v>#N/A</v>
      </c>
      <c r="M24" s="34" t="s">
        <v>20</v>
      </c>
      <c r="N24" s="35"/>
      <c r="O24" s="9"/>
      <c r="P24" s="34"/>
      <c r="R24" s="51">
        <v>6</v>
      </c>
      <c r="S24" s="38">
        <f t="shared" si="10"/>
        <v>12</v>
      </c>
      <c r="T24" s="52">
        <f t="shared" si="0"/>
        <v>0.20943951023931956</v>
      </c>
      <c r="U24" s="52">
        <f t="shared" si="19"/>
        <v>0.10452846326765347</v>
      </c>
      <c r="V24" s="52">
        <f t="shared" si="20"/>
        <v>0.20791169081775934</v>
      </c>
      <c r="W24" s="52">
        <f t="shared" si="11"/>
        <v>0.99452189536827329</v>
      </c>
      <c r="X24" s="52">
        <f t="shared" si="12"/>
        <v>0</v>
      </c>
      <c r="Y24" s="15">
        <f t="shared" si="1"/>
        <v>0</v>
      </c>
      <c r="Z24" s="52">
        <f t="shared" si="2"/>
        <v>0</v>
      </c>
      <c r="AA24" s="52">
        <f t="shared" si="3"/>
        <v>0</v>
      </c>
      <c r="AB24" s="15" t="e">
        <f t="shared" si="4"/>
        <v>#DIV/0!</v>
      </c>
      <c r="AC24" s="15" t="e">
        <f t="shared" si="13"/>
        <v>#DIV/0!</v>
      </c>
      <c r="AD24" s="15" t="e">
        <f t="shared" si="5"/>
        <v>#DIV/0!</v>
      </c>
      <c r="AE24" s="15" t="e">
        <f t="shared" si="6"/>
        <v>#DIV/0!</v>
      </c>
      <c r="AF24" s="15" t="e">
        <f t="shared" si="7"/>
        <v>#DIV/0!</v>
      </c>
      <c r="AG24" s="15" t="e">
        <f t="shared" si="8"/>
        <v>#DIV/0!</v>
      </c>
      <c r="AH24" s="53" t="e">
        <f t="shared" si="9"/>
        <v>#DIV/0!</v>
      </c>
      <c r="AI24" s="102" t="e">
        <f t="shared" si="14"/>
        <v>#DIV/0!</v>
      </c>
      <c r="AJ24" s="15"/>
      <c r="AK24" s="15" t="e">
        <f t="shared" si="15"/>
        <v>#DIV/0!</v>
      </c>
      <c r="AL24" s="15" t="e">
        <f t="shared" si="16"/>
        <v>#DIV/0!</v>
      </c>
      <c r="AM24" s="15">
        <f t="shared" si="17"/>
        <v>0</v>
      </c>
      <c r="AN24" s="15" t="e">
        <f t="shared" si="18"/>
        <v>#DIV/0!</v>
      </c>
    </row>
    <row r="25" spans="1:40" ht="15.6" x14ac:dyDescent="0.3">
      <c r="A25" s="6" t="s">
        <v>82</v>
      </c>
      <c r="B25" s="31">
        <v>40</v>
      </c>
      <c r="C25" s="8" t="s">
        <v>83</v>
      </c>
      <c r="D25" s="36" t="e">
        <f>D17/SQRT(9.81*D18)</f>
        <v>#DIV/0!</v>
      </c>
      <c r="E25" s="34" t="s">
        <v>20</v>
      </c>
      <c r="F25" s="35"/>
      <c r="G25" s="9"/>
      <c r="H25" s="34"/>
      <c r="I25" s="16"/>
      <c r="J25" s="31">
        <v>40</v>
      </c>
      <c r="K25" s="8" t="s">
        <v>83</v>
      </c>
      <c r="L25" s="36" t="e">
        <f>L17/SQRT(9.81*L18)</f>
        <v>#N/A</v>
      </c>
      <c r="M25" s="34" t="s">
        <v>20</v>
      </c>
      <c r="N25" s="35"/>
      <c r="O25" s="9"/>
      <c r="P25" s="34"/>
      <c r="R25" s="51">
        <v>6.5</v>
      </c>
      <c r="S25" s="38">
        <f t="shared" si="10"/>
        <v>13</v>
      </c>
      <c r="T25" s="52">
        <f t="shared" si="0"/>
        <v>0.22689280275926285</v>
      </c>
      <c r="U25" s="52">
        <f t="shared" si="19"/>
        <v>0.11320321376790672</v>
      </c>
      <c r="V25" s="52">
        <f t="shared" si="20"/>
        <v>0.224951054343865</v>
      </c>
      <c r="W25" s="52">
        <f t="shared" si="11"/>
        <v>0.99357185567658746</v>
      </c>
      <c r="X25" s="52">
        <f t="shared" si="12"/>
        <v>0</v>
      </c>
      <c r="Y25" s="15">
        <f t="shared" si="1"/>
        <v>0</v>
      </c>
      <c r="Z25" s="52">
        <f t="shared" si="2"/>
        <v>0</v>
      </c>
      <c r="AA25" s="52">
        <f t="shared" si="3"/>
        <v>0</v>
      </c>
      <c r="AB25" s="15" t="e">
        <f t="shared" si="4"/>
        <v>#DIV/0!</v>
      </c>
      <c r="AC25" s="15" t="e">
        <f t="shared" si="13"/>
        <v>#DIV/0!</v>
      </c>
      <c r="AD25" s="15" t="e">
        <f t="shared" si="5"/>
        <v>#DIV/0!</v>
      </c>
      <c r="AE25" s="15" t="e">
        <f t="shared" si="6"/>
        <v>#DIV/0!</v>
      </c>
      <c r="AF25" s="15" t="e">
        <f t="shared" si="7"/>
        <v>#DIV/0!</v>
      </c>
      <c r="AG25" s="15" t="e">
        <f t="shared" si="8"/>
        <v>#DIV/0!</v>
      </c>
      <c r="AH25" s="53" t="e">
        <f t="shared" si="9"/>
        <v>#DIV/0!</v>
      </c>
      <c r="AI25" s="102" t="e">
        <f t="shared" si="14"/>
        <v>#DIV/0!</v>
      </c>
      <c r="AJ25" s="15"/>
      <c r="AK25" s="15" t="e">
        <f t="shared" si="15"/>
        <v>#DIV/0!</v>
      </c>
      <c r="AL25" s="15" t="e">
        <f t="shared" si="16"/>
        <v>#DIV/0!</v>
      </c>
      <c r="AM25" s="15">
        <f t="shared" si="17"/>
        <v>0</v>
      </c>
      <c r="AN25" s="15" t="e">
        <f t="shared" si="18"/>
        <v>#DIV/0!</v>
      </c>
    </row>
    <row r="26" spans="1:40" x14ac:dyDescent="0.3">
      <c r="A26" s="6" t="s">
        <v>84</v>
      </c>
      <c r="B26" s="31">
        <v>45</v>
      </c>
      <c r="C26" s="8" t="s">
        <v>85</v>
      </c>
      <c r="D26" s="36" t="e">
        <f>1-POWER(1+(0.02*POWER(D25-6,1.5)),-1)</f>
        <v>#DIV/0!</v>
      </c>
      <c r="E26" s="34" t="s">
        <v>20</v>
      </c>
      <c r="F26" s="35"/>
      <c r="G26" s="9"/>
      <c r="H26" s="34"/>
      <c r="I26" s="16"/>
      <c r="J26" s="31">
        <v>45</v>
      </c>
      <c r="K26" s="8" t="s">
        <v>85</v>
      </c>
      <c r="L26" s="36" t="e">
        <f>1-POWER(1+(0.02*POWER(L25-6,1.5)),-1)</f>
        <v>#N/A</v>
      </c>
      <c r="M26" s="34" t="s">
        <v>20</v>
      </c>
      <c r="N26" s="35"/>
      <c r="O26" s="9"/>
      <c r="P26" s="34"/>
      <c r="R26" s="51">
        <v>7</v>
      </c>
      <c r="S26" s="38">
        <f t="shared" si="10"/>
        <v>14</v>
      </c>
      <c r="T26" s="52">
        <f t="shared" si="0"/>
        <v>0.24434609527920614</v>
      </c>
      <c r="U26" s="52">
        <f t="shared" si="19"/>
        <v>0.12186934340514748</v>
      </c>
      <c r="V26" s="52">
        <f t="shared" si="20"/>
        <v>0.24192189559966773</v>
      </c>
      <c r="W26" s="52">
        <f t="shared" si="11"/>
        <v>0.99254615164132198</v>
      </c>
      <c r="X26" s="52">
        <f t="shared" si="12"/>
        <v>0</v>
      </c>
      <c r="Y26" s="15">
        <f t="shared" si="1"/>
        <v>0</v>
      </c>
      <c r="Z26" s="52">
        <f t="shared" si="2"/>
        <v>0</v>
      </c>
      <c r="AA26" s="52">
        <f t="shared" si="3"/>
        <v>0</v>
      </c>
      <c r="AB26" s="15" t="e">
        <f t="shared" si="4"/>
        <v>#DIV/0!</v>
      </c>
      <c r="AC26" s="15" t="e">
        <f t="shared" si="13"/>
        <v>#DIV/0!</v>
      </c>
      <c r="AD26" s="15" t="e">
        <f t="shared" si="5"/>
        <v>#DIV/0!</v>
      </c>
      <c r="AE26" s="15" t="e">
        <f t="shared" si="6"/>
        <v>#DIV/0!</v>
      </c>
      <c r="AF26" s="15" t="e">
        <f t="shared" si="7"/>
        <v>#DIV/0!</v>
      </c>
      <c r="AG26" s="15" t="e">
        <f t="shared" si="8"/>
        <v>#DIV/0!</v>
      </c>
      <c r="AH26" s="53" t="e">
        <f t="shared" si="9"/>
        <v>#DIV/0!</v>
      </c>
      <c r="AI26" s="102" t="e">
        <f t="shared" si="14"/>
        <v>#DIV/0!</v>
      </c>
      <c r="AJ26" s="15"/>
      <c r="AK26" s="15" t="e">
        <f t="shared" si="15"/>
        <v>#DIV/0!</v>
      </c>
      <c r="AL26" s="15" t="e">
        <f t="shared" si="16"/>
        <v>#DIV/0!</v>
      </c>
      <c r="AM26" s="15">
        <f t="shared" si="17"/>
        <v>0</v>
      </c>
      <c r="AN26" s="15" t="e">
        <f t="shared" si="18"/>
        <v>#DIV/0!</v>
      </c>
    </row>
    <row r="27" spans="1:40" ht="15.6" x14ac:dyDescent="0.3">
      <c r="A27" s="6" t="s">
        <v>86</v>
      </c>
      <c r="B27" s="31">
        <v>46</v>
      </c>
      <c r="C27" s="8" t="s">
        <v>87</v>
      </c>
      <c r="D27" s="36" t="e">
        <f>D17*(1-D26^2)</f>
        <v>#DIV/0!</v>
      </c>
      <c r="E27" s="34" t="s">
        <v>69</v>
      </c>
      <c r="F27" s="35"/>
      <c r="G27" s="9"/>
      <c r="H27" s="34"/>
      <c r="I27" s="16"/>
      <c r="J27" s="31">
        <v>46</v>
      </c>
      <c r="K27" s="8" t="s">
        <v>87</v>
      </c>
      <c r="L27" s="36" t="e">
        <f>L17*(1-L26^2)</f>
        <v>#N/A</v>
      </c>
      <c r="M27" s="34" t="s">
        <v>69</v>
      </c>
      <c r="N27" s="35"/>
      <c r="O27" s="9"/>
      <c r="P27" s="34"/>
      <c r="R27" s="51">
        <v>7.5</v>
      </c>
      <c r="S27" s="38">
        <f t="shared" si="10"/>
        <v>15</v>
      </c>
      <c r="T27" s="52">
        <f t="shared" si="0"/>
        <v>0.26179938779914941</v>
      </c>
      <c r="U27" s="52">
        <f t="shared" si="19"/>
        <v>0.13052619222005157</v>
      </c>
      <c r="V27" s="52">
        <f t="shared" si="20"/>
        <v>0.25881904510252074</v>
      </c>
      <c r="W27" s="52">
        <f t="shared" si="11"/>
        <v>0.99144486137381038</v>
      </c>
      <c r="X27" s="52">
        <f t="shared" si="12"/>
        <v>0</v>
      </c>
      <c r="Y27" s="15">
        <f t="shared" si="1"/>
        <v>0</v>
      </c>
      <c r="Z27" s="52">
        <f t="shared" si="2"/>
        <v>0</v>
      </c>
      <c r="AA27" s="52">
        <f t="shared" si="3"/>
        <v>0</v>
      </c>
      <c r="AB27" s="15" t="e">
        <f t="shared" si="4"/>
        <v>#DIV/0!</v>
      </c>
      <c r="AC27" s="15" t="e">
        <f t="shared" si="13"/>
        <v>#DIV/0!</v>
      </c>
      <c r="AD27" s="15" t="e">
        <f t="shared" si="5"/>
        <v>#DIV/0!</v>
      </c>
      <c r="AE27" s="15" t="e">
        <f t="shared" si="6"/>
        <v>#DIV/0!</v>
      </c>
      <c r="AF27" s="15" t="e">
        <f t="shared" si="7"/>
        <v>#DIV/0!</v>
      </c>
      <c r="AG27" s="15" t="e">
        <f t="shared" si="8"/>
        <v>#DIV/0!</v>
      </c>
      <c r="AH27" s="53" t="e">
        <f t="shared" si="9"/>
        <v>#DIV/0!</v>
      </c>
      <c r="AI27" s="102" t="e">
        <f t="shared" si="14"/>
        <v>#DIV/0!</v>
      </c>
      <c r="AJ27" s="15"/>
      <c r="AK27" s="15" t="e">
        <f t="shared" si="15"/>
        <v>#DIV/0!</v>
      </c>
      <c r="AL27" s="15" t="e">
        <f t="shared" si="16"/>
        <v>#DIV/0!</v>
      </c>
      <c r="AM27" s="15">
        <f t="shared" si="17"/>
        <v>0</v>
      </c>
      <c r="AN27" s="15" t="e">
        <f t="shared" si="18"/>
        <v>#DIV/0!</v>
      </c>
    </row>
    <row r="28" spans="1:40" ht="16.2" x14ac:dyDescent="0.3">
      <c r="A28" s="6" t="s">
        <v>88</v>
      </c>
      <c r="B28" s="31">
        <v>51</v>
      </c>
      <c r="C28" s="8" t="s">
        <v>89</v>
      </c>
      <c r="D28" s="59" t="e">
        <f>999.23*9.81*D18*D6</f>
        <v>#DIV/0!</v>
      </c>
      <c r="E28" s="60" t="s">
        <v>90</v>
      </c>
      <c r="F28" s="54" t="s">
        <v>91</v>
      </c>
      <c r="G28" s="59" t="e">
        <f>999.23*9.81*G18*D6</f>
        <v>#DIV/0!</v>
      </c>
      <c r="H28" s="60" t="s">
        <v>90</v>
      </c>
      <c r="I28" s="30"/>
      <c r="J28" s="31">
        <v>51</v>
      </c>
      <c r="K28" s="8" t="s">
        <v>89</v>
      </c>
      <c r="L28" s="59" t="e">
        <f>999.23*9.81*L18*L6</f>
        <v>#N/A</v>
      </c>
      <c r="M28" s="60" t="s">
        <v>90</v>
      </c>
      <c r="N28" s="54" t="s">
        <v>91</v>
      </c>
      <c r="O28" s="59" t="e">
        <f>999.23*9.81*O18*L6</f>
        <v>#N/A</v>
      </c>
      <c r="P28" s="60" t="s">
        <v>90</v>
      </c>
      <c r="R28" s="51">
        <v>8</v>
      </c>
      <c r="S28" s="38">
        <f t="shared" si="10"/>
        <v>16</v>
      </c>
      <c r="T28" s="52">
        <f t="shared" si="0"/>
        <v>0.27925268031909273</v>
      </c>
      <c r="U28" s="52">
        <f t="shared" si="19"/>
        <v>0.13917310096006544</v>
      </c>
      <c r="V28" s="52">
        <f t="shared" si="20"/>
        <v>0.27563735581699916</v>
      </c>
      <c r="W28" s="52">
        <f t="shared" si="11"/>
        <v>0.99026806874157036</v>
      </c>
      <c r="X28" s="52">
        <f t="shared" si="12"/>
        <v>0</v>
      </c>
      <c r="Y28" s="15">
        <f t="shared" si="1"/>
        <v>0</v>
      </c>
      <c r="Z28" s="52">
        <f t="shared" si="2"/>
        <v>0</v>
      </c>
      <c r="AA28" s="52">
        <f t="shared" si="3"/>
        <v>0</v>
      </c>
      <c r="AB28" s="15" t="e">
        <f t="shared" si="4"/>
        <v>#DIV/0!</v>
      </c>
      <c r="AC28" s="15" t="e">
        <f t="shared" si="13"/>
        <v>#DIV/0!</v>
      </c>
      <c r="AD28" s="15" t="e">
        <f t="shared" si="5"/>
        <v>#DIV/0!</v>
      </c>
      <c r="AE28" s="15" t="e">
        <f t="shared" si="6"/>
        <v>#DIV/0!</v>
      </c>
      <c r="AF28" s="15" t="e">
        <f t="shared" si="7"/>
        <v>#DIV/0!</v>
      </c>
      <c r="AG28" s="15" t="e">
        <f t="shared" si="8"/>
        <v>#DIV/0!</v>
      </c>
      <c r="AH28" s="53" t="e">
        <f t="shared" si="9"/>
        <v>#DIV/0!</v>
      </c>
      <c r="AI28" s="102" t="e">
        <f t="shared" si="14"/>
        <v>#DIV/0!</v>
      </c>
      <c r="AJ28" s="15"/>
      <c r="AK28" s="15" t="e">
        <f t="shared" si="15"/>
        <v>#DIV/0!</v>
      </c>
      <c r="AL28" s="15" t="e">
        <f t="shared" si="16"/>
        <v>#DIV/0!</v>
      </c>
      <c r="AM28" s="15">
        <f t="shared" si="17"/>
        <v>0</v>
      </c>
      <c r="AN28" s="15" t="e">
        <f t="shared" si="18"/>
        <v>#DIV/0!</v>
      </c>
    </row>
    <row r="29" spans="1:40" ht="16.2" x14ac:dyDescent="0.3">
      <c r="A29" s="6" t="s">
        <v>92</v>
      </c>
      <c r="B29" s="31">
        <v>52</v>
      </c>
      <c r="C29" s="61"/>
      <c r="D29" s="9"/>
      <c r="E29" s="10"/>
      <c r="F29" s="54" t="s">
        <v>93</v>
      </c>
      <c r="G29" s="59">
        <f>4.1*POWER(D4,1/3)</f>
        <v>0</v>
      </c>
      <c r="H29" s="60" t="s">
        <v>90</v>
      </c>
      <c r="I29" s="30"/>
      <c r="J29" s="31">
        <v>52</v>
      </c>
      <c r="K29" s="61"/>
      <c r="L29" s="9"/>
      <c r="M29" s="10"/>
      <c r="N29" s="54" t="s">
        <v>93</v>
      </c>
      <c r="O29" s="59">
        <f>4.1*POWER(L4,1/3)</f>
        <v>0</v>
      </c>
      <c r="P29" s="60" t="s">
        <v>90</v>
      </c>
      <c r="R29" s="51">
        <v>8.5</v>
      </c>
      <c r="S29" s="38">
        <f t="shared" si="10"/>
        <v>17</v>
      </c>
      <c r="T29" s="52">
        <f t="shared" si="0"/>
        <v>0.29670597283903605</v>
      </c>
      <c r="U29" s="52">
        <f t="shared" si="19"/>
        <v>0.14780941112961063</v>
      </c>
      <c r="V29" s="52">
        <f t="shared" si="20"/>
        <v>0.29237170472273677</v>
      </c>
      <c r="W29" s="52">
        <f t="shared" si="11"/>
        <v>0.98901586336191682</v>
      </c>
      <c r="X29" s="52">
        <f t="shared" si="12"/>
        <v>0</v>
      </c>
      <c r="Y29" s="15">
        <f t="shared" si="1"/>
        <v>0</v>
      </c>
      <c r="Z29" s="52">
        <f t="shared" si="2"/>
        <v>0</v>
      </c>
      <c r="AA29" s="52">
        <f t="shared" si="3"/>
        <v>0</v>
      </c>
      <c r="AB29" s="15" t="e">
        <f t="shared" si="4"/>
        <v>#DIV/0!</v>
      </c>
      <c r="AC29" s="15" t="e">
        <f t="shared" si="13"/>
        <v>#DIV/0!</v>
      </c>
      <c r="AD29" s="15" t="e">
        <f t="shared" si="5"/>
        <v>#DIV/0!</v>
      </c>
      <c r="AE29" s="15" t="e">
        <f t="shared" si="6"/>
        <v>#DIV/0!</v>
      </c>
      <c r="AF29" s="15" t="e">
        <f t="shared" si="7"/>
        <v>#DIV/0!</v>
      </c>
      <c r="AG29" s="15" t="e">
        <f t="shared" si="8"/>
        <v>#DIV/0!</v>
      </c>
      <c r="AH29" s="53" t="e">
        <f t="shared" si="9"/>
        <v>#DIV/0!</v>
      </c>
      <c r="AI29" s="102" t="e">
        <f t="shared" si="14"/>
        <v>#DIV/0!</v>
      </c>
      <c r="AJ29" s="15"/>
      <c r="AK29" s="15" t="e">
        <f t="shared" si="15"/>
        <v>#DIV/0!</v>
      </c>
      <c r="AL29" s="15" t="e">
        <f t="shared" si="16"/>
        <v>#DIV/0!</v>
      </c>
      <c r="AM29" s="15">
        <f t="shared" si="17"/>
        <v>0</v>
      </c>
      <c r="AN29" s="15" t="e">
        <f t="shared" si="18"/>
        <v>#DIV/0!</v>
      </c>
    </row>
    <row r="30" spans="1:40" ht="16.2" x14ac:dyDescent="0.3">
      <c r="A30" s="6" t="s">
        <v>94</v>
      </c>
      <c r="B30" s="31">
        <v>53</v>
      </c>
      <c r="C30" s="61"/>
      <c r="D30" s="9"/>
      <c r="E30" s="10"/>
      <c r="F30" s="54" t="s">
        <v>93</v>
      </c>
      <c r="G30" s="59">
        <f>3.4*POWER(D4,1/3)</f>
        <v>0</v>
      </c>
      <c r="H30" s="60" t="s">
        <v>90</v>
      </c>
      <c r="I30" s="30"/>
      <c r="J30" s="31">
        <v>53</v>
      </c>
      <c r="K30" s="61"/>
      <c r="L30" s="9"/>
      <c r="M30" s="10"/>
      <c r="N30" s="54" t="s">
        <v>93</v>
      </c>
      <c r="O30" s="59">
        <f>3.4*POWER(L4,1/3)</f>
        <v>0</v>
      </c>
      <c r="P30" s="60" t="s">
        <v>90</v>
      </c>
      <c r="R30" s="51">
        <v>9</v>
      </c>
      <c r="S30" s="38">
        <f t="shared" si="10"/>
        <v>18</v>
      </c>
      <c r="T30" s="52">
        <f t="shared" si="0"/>
        <v>0.31415926535897931</v>
      </c>
      <c r="U30" s="52">
        <f t="shared" si="19"/>
        <v>0.15643446504023087</v>
      </c>
      <c r="V30" s="52">
        <f t="shared" si="20"/>
        <v>0.3090169943749474</v>
      </c>
      <c r="W30" s="52">
        <f t="shared" si="11"/>
        <v>0.98768834059513777</v>
      </c>
      <c r="X30" s="52">
        <f t="shared" si="12"/>
        <v>0</v>
      </c>
      <c r="Y30" s="15">
        <f t="shared" si="1"/>
        <v>0</v>
      </c>
      <c r="Z30" s="52">
        <f t="shared" si="2"/>
        <v>0</v>
      </c>
      <c r="AA30" s="52">
        <f t="shared" si="3"/>
        <v>0</v>
      </c>
      <c r="AB30" s="15" t="e">
        <f t="shared" si="4"/>
        <v>#DIV/0!</v>
      </c>
      <c r="AC30" s="15" t="e">
        <f t="shared" si="13"/>
        <v>#DIV/0!</v>
      </c>
      <c r="AD30" s="15" t="e">
        <f t="shared" si="5"/>
        <v>#DIV/0!</v>
      </c>
      <c r="AE30" s="15" t="e">
        <f t="shared" si="6"/>
        <v>#DIV/0!</v>
      </c>
      <c r="AF30" s="15" t="e">
        <f t="shared" si="7"/>
        <v>#DIV/0!</v>
      </c>
      <c r="AG30" s="15" t="e">
        <f t="shared" si="8"/>
        <v>#DIV/0!</v>
      </c>
      <c r="AH30" s="53" t="e">
        <f t="shared" si="9"/>
        <v>#DIV/0!</v>
      </c>
      <c r="AI30" s="102" t="e">
        <f t="shared" si="14"/>
        <v>#DIV/0!</v>
      </c>
      <c r="AJ30" s="15"/>
      <c r="AK30" s="15" t="e">
        <f t="shared" si="15"/>
        <v>#DIV/0!</v>
      </c>
      <c r="AL30" s="15" t="e">
        <f t="shared" si="16"/>
        <v>#DIV/0!</v>
      </c>
      <c r="AM30" s="15">
        <f t="shared" si="17"/>
        <v>0</v>
      </c>
      <c r="AN30" s="15" t="e">
        <f t="shared" si="18"/>
        <v>#DIV/0!</v>
      </c>
    </row>
    <row r="31" spans="1:40" ht="15.6" x14ac:dyDescent="0.3">
      <c r="A31" s="6" t="s">
        <v>95</v>
      </c>
      <c r="B31" s="62">
        <v>54</v>
      </c>
      <c r="C31" s="63" t="s">
        <v>96</v>
      </c>
      <c r="D31" s="64" t="e">
        <f>D3/SQRT(9.81*D10^5)</f>
        <v>#DIV/0!</v>
      </c>
      <c r="E31" s="65" t="s">
        <v>20</v>
      </c>
      <c r="F31" s="66"/>
      <c r="G31" s="66"/>
      <c r="H31" s="65"/>
      <c r="J31" s="62">
        <v>54</v>
      </c>
      <c r="K31" s="63" t="s">
        <v>96</v>
      </c>
      <c r="L31" s="64" t="e">
        <f>L3/SQRT(9.81*L10^5)</f>
        <v>#DIV/0!</v>
      </c>
      <c r="M31" s="65" t="s">
        <v>20</v>
      </c>
      <c r="N31" s="66"/>
      <c r="O31" s="66"/>
      <c r="P31" s="65"/>
      <c r="R31" s="51">
        <v>9.5</v>
      </c>
      <c r="S31" s="38">
        <f t="shared" si="10"/>
        <v>19</v>
      </c>
      <c r="T31" s="52">
        <f t="shared" si="0"/>
        <v>0.33161255787892263</v>
      </c>
      <c r="U31" s="52">
        <f t="shared" si="19"/>
        <v>0.16504760586067765</v>
      </c>
      <c r="V31" s="52">
        <f t="shared" si="20"/>
        <v>0.3255681544571567</v>
      </c>
      <c r="W31" s="52">
        <f t="shared" si="11"/>
        <v>0.98628560153723144</v>
      </c>
      <c r="X31" s="52">
        <f t="shared" si="12"/>
        <v>0</v>
      </c>
      <c r="Y31" s="15">
        <f t="shared" si="1"/>
        <v>0</v>
      </c>
      <c r="Z31" s="52">
        <f t="shared" si="2"/>
        <v>0</v>
      </c>
      <c r="AA31" s="52">
        <f>$W$4*T31</f>
        <v>0</v>
      </c>
      <c r="AB31" s="15" t="e">
        <f t="shared" si="4"/>
        <v>#DIV/0!</v>
      </c>
      <c r="AC31" s="15" t="e">
        <f t="shared" si="13"/>
        <v>#DIV/0!</v>
      </c>
      <c r="AD31" s="15" t="e">
        <f t="shared" si="5"/>
        <v>#DIV/0!</v>
      </c>
      <c r="AE31" s="15" t="e">
        <f t="shared" si="6"/>
        <v>#DIV/0!</v>
      </c>
      <c r="AF31" s="15" t="e">
        <f t="shared" si="7"/>
        <v>#DIV/0!</v>
      </c>
      <c r="AG31" s="15" t="e">
        <f t="shared" si="8"/>
        <v>#DIV/0!</v>
      </c>
      <c r="AH31" s="53" t="e">
        <f t="shared" si="9"/>
        <v>#DIV/0!</v>
      </c>
      <c r="AI31" s="102" t="e">
        <f t="shared" si="14"/>
        <v>#DIV/0!</v>
      </c>
      <c r="AJ31" s="15"/>
      <c r="AK31" s="15" t="e">
        <f t="shared" si="15"/>
        <v>#DIV/0!</v>
      </c>
      <c r="AL31" s="15" t="e">
        <f t="shared" si="16"/>
        <v>#DIV/0!</v>
      </c>
      <c r="AM31" s="15">
        <f t="shared" si="17"/>
        <v>0</v>
      </c>
      <c r="AN31" s="15" t="e">
        <f t="shared" si="18"/>
        <v>#DIV/0!</v>
      </c>
    </row>
    <row r="32" spans="1:40" ht="13.8" x14ac:dyDescent="0.3">
      <c r="R32" s="51">
        <v>10</v>
      </c>
      <c r="S32" s="38">
        <f t="shared" si="10"/>
        <v>20</v>
      </c>
      <c r="T32" s="52">
        <f t="shared" si="0"/>
        <v>0.3490658503988659</v>
      </c>
      <c r="U32" s="52">
        <f t="shared" si="19"/>
        <v>0.17364817766693033</v>
      </c>
      <c r="V32" s="52">
        <f t="shared" si="20"/>
        <v>0.34202014332566871</v>
      </c>
      <c r="W32" s="52">
        <f t="shared" si="11"/>
        <v>0.98480775301220802</v>
      </c>
      <c r="X32" s="52">
        <f t="shared" si="12"/>
        <v>0</v>
      </c>
      <c r="Y32" s="15">
        <f t="shared" si="1"/>
        <v>0</v>
      </c>
      <c r="Z32" s="52">
        <f t="shared" si="2"/>
        <v>0</v>
      </c>
      <c r="AA32" s="52">
        <f t="shared" si="3"/>
        <v>0</v>
      </c>
      <c r="AB32" s="15" t="e">
        <f>Z32/$W$5</f>
        <v>#DIV/0!</v>
      </c>
      <c r="AC32" s="15" t="e">
        <f>Y32/AA32</f>
        <v>#DIV/0!</v>
      </c>
      <c r="AD32" s="15" t="e">
        <f t="shared" si="5"/>
        <v>#DIV/0!</v>
      </c>
      <c r="AE32" s="15" t="e">
        <f t="shared" si="6"/>
        <v>#DIV/0!</v>
      </c>
      <c r="AF32" s="15" t="e">
        <f t="shared" si="7"/>
        <v>#DIV/0!</v>
      </c>
      <c r="AG32" s="15" t="e">
        <f t="shared" si="8"/>
        <v>#DIV/0!</v>
      </c>
      <c r="AH32" s="53" t="e">
        <f t="shared" si="9"/>
        <v>#DIV/0!</v>
      </c>
      <c r="AI32" s="102" t="e">
        <f t="shared" si="14"/>
        <v>#DIV/0!</v>
      </c>
      <c r="AJ32" s="15"/>
      <c r="AK32" s="15" t="e">
        <f t="shared" si="15"/>
        <v>#DIV/0!</v>
      </c>
      <c r="AL32" s="15" t="e">
        <f t="shared" si="16"/>
        <v>#DIV/0!</v>
      </c>
      <c r="AM32" s="15">
        <f t="shared" si="17"/>
        <v>0</v>
      </c>
      <c r="AN32" s="15" t="e">
        <f t="shared" si="18"/>
        <v>#DIV/0!</v>
      </c>
    </row>
    <row r="33" spans="18:40" ht="17.25" customHeight="1" x14ac:dyDescent="0.3">
      <c r="R33" s="51">
        <v>10.5</v>
      </c>
      <c r="S33" s="38">
        <f t="shared" si="10"/>
        <v>21</v>
      </c>
      <c r="T33" s="52">
        <f t="shared" si="0"/>
        <v>0.36651914291880922</v>
      </c>
      <c r="U33" s="52">
        <f t="shared" si="19"/>
        <v>0.18223552549214747</v>
      </c>
      <c r="V33" s="52">
        <f t="shared" si="20"/>
        <v>0.35836794954530027</v>
      </c>
      <c r="W33" s="52">
        <f t="shared" si="11"/>
        <v>0.98325490756395462</v>
      </c>
      <c r="X33" s="52">
        <f t="shared" si="12"/>
        <v>0</v>
      </c>
      <c r="Y33" s="15">
        <f t="shared" si="1"/>
        <v>0</v>
      </c>
      <c r="Z33" s="52">
        <f t="shared" si="2"/>
        <v>0</v>
      </c>
      <c r="AA33" s="52">
        <f t="shared" si="3"/>
        <v>0</v>
      </c>
      <c r="AB33" s="15" t="e">
        <f t="shared" si="4"/>
        <v>#DIV/0!</v>
      </c>
      <c r="AC33" s="15" t="e">
        <f t="shared" si="13"/>
        <v>#DIV/0!</v>
      </c>
      <c r="AD33" s="15" t="e">
        <f t="shared" si="5"/>
        <v>#DIV/0!</v>
      </c>
      <c r="AE33" s="15" t="e">
        <f t="shared" si="6"/>
        <v>#DIV/0!</v>
      </c>
      <c r="AF33" s="15" t="e">
        <f t="shared" si="7"/>
        <v>#DIV/0!</v>
      </c>
      <c r="AG33" s="15" t="e">
        <f t="shared" si="8"/>
        <v>#DIV/0!</v>
      </c>
      <c r="AH33" s="53" t="e">
        <f t="shared" si="9"/>
        <v>#DIV/0!</v>
      </c>
      <c r="AI33" s="102" t="e">
        <f t="shared" si="14"/>
        <v>#DIV/0!</v>
      </c>
      <c r="AJ33" s="15"/>
      <c r="AK33" s="15" t="e">
        <f t="shared" si="15"/>
        <v>#DIV/0!</v>
      </c>
      <c r="AL33" s="15" t="e">
        <f t="shared" si="16"/>
        <v>#DIV/0!</v>
      </c>
      <c r="AM33" s="15">
        <f t="shared" si="17"/>
        <v>0</v>
      </c>
      <c r="AN33" s="15" t="e">
        <f t="shared" si="18"/>
        <v>#DIV/0!</v>
      </c>
    </row>
    <row r="34" spans="18:40" ht="13.8" x14ac:dyDescent="0.3">
      <c r="R34" s="51">
        <v>11</v>
      </c>
      <c r="S34" s="38">
        <f t="shared" si="10"/>
        <v>22</v>
      </c>
      <c r="T34" s="52">
        <f t="shared" si="0"/>
        <v>0.38397243543875248</v>
      </c>
      <c r="U34" s="52">
        <f t="shared" si="19"/>
        <v>0.1908089953765448</v>
      </c>
      <c r="V34" s="52">
        <f t="shared" si="20"/>
        <v>0.37460659341591201</v>
      </c>
      <c r="W34" s="52">
        <f t="shared" si="11"/>
        <v>0.98162718344766398</v>
      </c>
      <c r="X34" s="52">
        <f t="shared" si="12"/>
        <v>0</v>
      </c>
      <c r="Y34" s="15">
        <f t="shared" si="1"/>
        <v>0</v>
      </c>
      <c r="Z34" s="52">
        <f t="shared" si="2"/>
        <v>0</v>
      </c>
      <c r="AA34" s="52">
        <f t="shared" si="3"/>
        <v>0</v>
      </c>
      <c r="AB34" s="15" t="e">
        <f t="shared" si="4"/>
        <v>#DIV/0!</v>
      </c>
      <c r="AC34" s="15" t="e">
        <f t="shared" si="13"/>
        <v>#DIV/0!</v>
      </c>
      <c r="AD34" s="15" t="e">
        <f t="shared" si="5"/>
        <v>#DIV/0!</v>
      </c>
      <c r="AE34" s="15" t="e">
        <f t="shared" si="6"/>
        <v>#DIV/0!</v>
      </c>
      <c r="AF34" s="15" t="e">
        <f t="shared" si="7"/>
        <v>#DIV/0!</v>
      </c>
      <c r="AG34" s="15" t="e">
        <f t="shared" si="8"/>
        <v>#DIV/0!</v>
      </c>
      <c r="AH34" s="53" t="e">
        <f t="shared" si="9"/>
        <v>#DIV/0!</v>
      </c>
      <c r="AI34" s="102" t="e">
        <f t="shared" si="14"/>
        <v>#DIV/0!</v>
      </c>
      <c r="AJ34" s="15"/>
      <c r="AK34" s="15" t="e">
        <f t="shared" si="15"/>
        <v>#DIV/0!</v>
      </c>
      <c r="AL34" s="15" t="e">
        <f t="shared" si="16"/>
        <v>#DIV/0!</v>
      </c>
      <c r="AM34" s="15">
        <f t="shared" si="17"/>
        <v>0</v>
      </c>
      <c r="AN34" s="15" t="e">
        <f t="shared" si="18"/>
        <v>#DIV/0!</v>
      </c>
    </row>
    <row r="35" spans="18:40" ht="13.8" x14ac:dyDescent="0.3">
      <c r="R35" s="51">
        <v>11.5</v>
      </c>
      <c r="S35" s="38">
        <f t="shared" si="10"/>
        <v>23</v>
      </c>
      <c r="T35" s="52">
        <f t="shared" si="0"/>
        <v>0.4014257279586958</v>
      </c>
      <c r="U35" s="52">
        <f t="shared" si="19"/>
        <v>0.19936793441719719</v>
      </c>
      <c r="V35" s="52">
        <f t="shared" si="20"/>
        <v>0.39073112848927377</v>
      </c>
      <c r="W35" s="52">
        <f t="shared" si="11"/>
        <v>0.97992470462082959</v>
      </c>
      <c r="X35" s="52">
        <f t="shared" si="12"/>
        <v>0</v>
      </c>
      <c r="Y35" s="15">
        <f t="shared" si="1"/>
        <v>0</v>
      </c>
      <c r="Z35" s="52">
        <f t="shared" si="2"/>
        <v>0</v>
      </c>
      <c r="AA35" s="52">
        <f t="shared" si="3"/>
        <v>0</v>
      </c>
      <c r="AB35" s="15" t="e">
        <f t="shared" si="4"/>
        <v>#DIV/0!</v>
      </c>
      <c r="AC35" s="15" t="e">
        <f t="shared" si="13"/>
        <v>#DIV/0!</v>
      </c>
      <c r="AD35" s="15" t="e">
        <f t="shared" si="5"/>
        <v>#DIV/0!</v>
      </c>
      <c r="AE35" s="15" t="e">
        <f t="shared" si="6"/>
        <v>#DIV/0!</v>
      </c>
      <c r="AF35" s="15" t="e">
        <f t="shared" si="7"/>
        <v>#DIV/0!</v>
      </c>
      <c r="AG35" s="15" t="e">
        <f t="shared" si="8"/>
        <v>#DIV/0!</v>
      </c>
      <c r="AH35" s="53" t="e">
        <f t="shared" si="9"/>
        <v>#DIV/0!</v>
      </c>
      <c r="AI35" s="102" t="e">
        <f t="shared" si="14"/>
        <v>#DIV/0!</v>
      </c>
      <c r="AJ35" s="15"/>
      <c r="AK35" s="15" t="e">
        <f t="shared" si="15"/>
        <v>#DIV/0!</v>
      </c>
      <c r="AL35" s="15" t="e">
        <f t="shared" si="16"/>
        <v>#DIV/0!</v>
      </c>
      <c r="AM35" s="15">
        <f t="shared" si="17"/>
        <v>0</v>
      </c>
      <c r="AN35" s="15" t="e">
        <f t="shared" si="18"/>
        <v>#DIV/0!</v>
      </c>
    </row>
    <row r="36" spans="18:40" ht="13.8" x14ac:dyDescent="0.3">
      <c r="R36" s="51">
        <v>12</v>
      </c>
      <c r="S36" s="38">
        <f t="shared" si="10"/>
        <v>24</v>
      </c>
      <c r="T36" s="52">
        <f t="shared" si="0"/>
        <v>0.41887902047863912</v>
      </c>
      <c r="U36" s="52">
        <f t="shared" si="19"/>
        <v>0.20791169081775934</v>
      </c>
      <c r="V36" s="52">
        <f t="shared" si="20"/>
        <v>0.40673664307580021</v>
      </c>
      <c r="W36" s="52">
        <f t="shared" si="11"/>
        <v>0.97814760073380569</v>
      </c>
      <c r="X36" s="52">
        <f t="shared" si="12"/>
        <v>0</v>
      </c>
      <c r="Y36" s="15">
        <f t="shared" si="1"/>
        <v>0</v>
      </c>
      <c r="Z36" s="52">
        <f t="shared" si="2"/>
        <v>0</v>
      </c>
      <c r="AA36" s="52">
        <f t="shared" si="3"/>
        <v>0</v>
      </c>
      <c r="AB36" s="15" t="e">
        <f t="shared" si="4"/>
        <v>#DIV/0!</v>
      </c>
      <c r="AC36" s="15" t="e">
        <f t="shared" si="13"/>
        <v>#DIV/0!</v>
      </c>
      <c r="AD36" s="15" t="e">
        <f t="shared" si="5"/>
        <v>#DIV/0!</v>
      </c>
      <c r="AE36" s="15" t="e">
        <f t="shared" si="6"/>
        <v>#DIV/0!</v>
      </c>
      <c r="AF36" s="15" t="e">
        <f t="shared" si="7"/>
        <v>#DIV/0!</v>
      </c>
      <c r="AG36" s="15" t="e">
        <f t="shared" si="8"/>
        <v>#DIV/0!</v>
      </c>
      <c r="AH36" s="53" t="e">
        <f t="shared" si="9"/>
        <v>#DIV/0!</v>
      </c>
      <c r="AI36" s="102" t="e">
        <f t="shared" si="14"/>
        <v>#DIV/0!</v>
      </c>
      <c r="AJ36" s="15"/>
      <c r="AK36" s="15" t="e">
        <f t="shared" si="15"/>
        <v>#DIV/0!</v>
      </c>
      <c r="AL36" s="15" t="e">
        <f t="shared" si="16"/>
        <v>#DIV/0!</v>
      </c>
      <c r="AM36" s="15">
        <f t="shared" si="17"/>
        <v>0</v>
      </c>
      <c r="AN36" s="15" t="e">
        <f t="shared" si="18"/>
        <v>#DIV/0!</v>
      </c>
    </row>
    <row r="37" spans="18:40" ht="13.8" x14ac:dyDescent="0.3">
      <c r="R37" s="51">
        <v>12.5</v>
      </c>
      <c r="S37" s="38">
        <f t="shared" si="10"/>
        <v>25</v>
      </c>
      <c r="T37" s="52">
        <f t="shared" si="0"/>
        <v>0.43633231299858238</v>
      </c>
      <c r="U37" s="52">
        <f t="shared" si="19"/>
        <v>0.21643961393810288</v>
      </c>
      <c r="V37" s="52">
        <f t="shared" si="20"/>
        <v>0.42261826174069944</v>
      </c>
      <c r="W37" s="52">
        <f t="shared" si="11"/>
        <v>0.97629600711993336</v>
      </c>
      <c r="X37" s="52">
        <f t="shared" si="12"/>
        <v>0</v>
      </c>
      <c r="Y37" s="15">
        <f t="shared" si="1"/>
        <v>0</v>
      </c>
      <c r="Z37" s="52">
        <f t="shared" si="2"/>
        <v>0</v>
      </c>
      <c r="AA37" s="52">
        <f t="shared" si="3"/>
        <v>0</v>
      </c>
      <c r="AB37" s="15" t="e">
        <f t="shared" si="4"/>
        <v>#DIV/0!</v>
      </c>
      <c r="AC37" s="15" t="e">
        <f t="shared" si="13"/>
        <v>#DIV/0!</v>
      </c>
      <c r="AD37" s="15" t="e">
        <f t="shared" si="5"/>
        <v>#DIV/0!</v>
      </c>
      <c r="AE37" s="15" t="e">
        <f t="shared" si="6"/>
        <v>#DIV/0!</v>
      </c>
      <c r="AF37" s="15" t="e">
        <f t="shared" si="7"/>
        <v>#DIV/0!</v>
      </c>
      <c r="AG37" s="15" t="e">
        <f t="shared" si="8"/>
        <v>#DIV/0!</v>
      </c>
      <c r="AH37" s="53" t="e">
        <f t="shared" si="9"/>
        <v>#DIV/0!</v>
      </c>
      <c r="AI37" s="102" t="e">
        <f t="shared" si="14"/>
        <v>#DIV/0!</v>
      </c>
      <c r="AJ37" s="15"/>
      <c r="AK37" s="15" t="e">
        <f t="shared" si="15"/>
        <v>#DIV/0!</v>
      </c>
      <c r="AL37" s="15" t="e">
        <f t="shared" si="16"/>
        <v>#DIV/0!</v>
      </c>
      <c r="AM37" s="15">
        <f t="shared" si="17"/>
        <v>0</v>
      </c>
      <c r="AN37" s="15" t="e">
        <f t="shared" si="18"/>
        <v>#DIV/0!</v>
      </c>
    </row>
    <row r="38" spans="18:40" ht="13.8" x14ac:dyDescent="0.3">
      <c r="R38" s="51">
        <v>13</v>
      </c>
      <c r="S38" s="38">
        <f t="shared" si="10"/>
        <v>26</v>
      </c>
      <c r="T38" s="52">
        <f t="shared" si="0"/>
        <v>0.4537856055185257</v>
      </c>
      <c r="U38" s="52">
        <f t="shared" si="19"/>
        <v>0.224951054343865</v>
      </c>
      <c r="V38" s="52">
        <f t="shared" si="20"/>
        <v>0.4383711467890774</v>
      </c>
      <c r="W38" s="52">
        <f t="shared" si="11"/>
        <v>0.97437006478523525</v>
      </c>
      <c r="X38" s="52">
        <f t="shared" si="12"/>
        <v>0</v>
      </c>
      <c r="Y38" s="15">
        <f t="shared" si="1"/>
        <v>0</v>
      </c>
      <c r="Z38" s="52">
        <f t="shared" si="2"/>
        <v>0</v>
      </c>
      <c r="AA38" s="52">
        <f t="shared" si="3"/>
        <v>0</v>
      </c>
      <c r="AB38" s="15" t="e">
        <f t="shared" si="4"/>
        <v>#DIV/0!</v>
      </c>
      <c r="AC38" s="15" t="e">
        <f t="shared" si="13"/>
        <v>#DIV/0!</v>
      </c>
      <c r="AD38" s="15" t="e">
        <f t="shared" si="5"/>
        <v>#DIV/0!</v>
      </c>
      <c r="AE38" s="15" t="e">
        <f t="shared" si="6"/>
        <v>#DIV/0!</v>
      </c>
      <c r="AF38" s="15" t="e">
        <f t="shared" si="7"/>
        <v>#DIV/0!</v>
      </c>
      <c r="AG38" s="15" t="e">
        <f t="shared" si="8"/>
        <v>#DIV/0!</v>
      </c>
      <c r="AH38" s="53" t="e">
        <f t="shared" si="9"/>
        <v>#DIV/0!</v>
      </c>
      <c r="AI38" s="102" t="e">
        <f t="shared" si="14"/>
        <v>#DIV/0!</v>
      </c>
      <c r="AJ38" s="15"/>
      <c r="AK38" s="15" t="e">
        <f t="shared" ref="AK38:AK101" si="21">AH38</f>
        <v>#DIV/0!</v>
      </c>
      <c r="AL38" s="15" t="e">
        <f t="shared" ref="AL38:AL101" si="22">AB38</f>
        <v>#DIV/0!</v>
      </c>
      <c r="AM38" s="15">
        <f t="shared" si="17"/>
        <v>0</v>
      </c>
      <c r="AN38" s="15" t="e">
        <f t="shared" si="18"/>
        <v>#DIV/0!</v>
      </c>
    </row>
    <row r="39" spans="18:40" ht="13.8" x14ac:dyDescent="0.3">
      <c r="R39" s="51">
        <v>13.5</v>
      </c>
      <c r="S39" s="38">
        <f t="shared" si="10"/>
        <v>27</v>
      </c>
      <c r="T39" s="52">
        <f t="shared" si="0"/>
        <v>0.47123889803846897</v>
      </c>
      <c r="U39" s="52">
        <f t="shared" si="19"/>
        <v>0.23344536385590539</v>
      </c>
      <c r="V39" s="52">
        <f t="shared" si="20"/>
        <v>0.45399049973954675</v>
      </c>
      <c r="W39" s="52">
        <f t="shared" si="11"/>
        <v>0.97236992039767656</v>
      </c>
      <c r="X39" s="52">
        <f t="shared" si="12"/>
        <v>0</v>
      </c>
      <c r="Y39" s="15">
        <f t="shared" si="1"/>
        <v>0</v>
      </c>
      <c r="Z39" s="52">
        <f t="shared" si="2"/>
        <v>0</v>
      </c>
      <c r="AA39" s="52">
        <f t="shared" si="3"/>
        <v>0</v>
      </c>
      <c r="AB39" s="15" t="e">
        <f t="shared" si="4"/>
        <v>#DIV/0!</v>
      </c>
      <c r="AC39" s="15" t="e">
        <f t="shared" si="13"/>
        <v>#DIV/0!</v>
      </c>
      <c r="AD39" s="15" t="e">
        <f t="shared" si="5"/>
        <v>#DIV/0!</v>
      </c>
      <c r="AE39" s="15" t="e">
        <f t="shared" si="6"/>
        <v>#DIV/0!</v>
      </c>
      <c r="AF39" s="15" t="e">
        <f t="shared" si="7"/>
        <v>#DIV/0!</v>
      </c>
      <c r="AG39" s="15" t="e">
        <f t="shared" si="8"/>
        <v>#DIV/0!</v>
      </c>
      <c r="AH39" s="53" t="e">
        <f t="shared" si="9"/>
        <v>#DIV/0!</v>
      </c>
      <c r="AI39" s="102" t="e">
        <f t="shared" si="14"/>
        <v>#DIV/0!</v>
      </c>
      <c r="AJ39" s="15"/>
      <c r="AK39" s="15" t="e">
        <f t="shared" si="21"/>
        <v>#DIV/0!</v>
      </c>
      <c r="AL39" s="15" t="e">
        <f t="shared" si="22"/>
        <v>#DIV/0!</v>
      </c>
      <c r="AM39" s="15">
        <f t="shared" si="17"/>
        <v>0</v>
      </c>
      <c r="AN39" s="15" t="e">
        <f t="shared" si="18"/>
        <v>#DIV/0!</v>
      </c>
    </row>
    <row r="40" spans="18:40" ht="13.8" x14ac:dyDescent="0.3">
      <c r="R40" s="51">
        <v>14</v>
      </c>
      <c r="S40" s="38">
        <f t="shared" si="10"/>
        <v>28</v>
      </c>
      <c r="T40" s="52">
        <f t="shared" si="0"/>
        <v>0.48869219055841229</v>
      </c>
      <c r="U40" s="52">
        <f t="shared" si="19"/>
        <v>0.24192189559966773</v>
      </c>
      <c r="V40" s="52">
        <f t="shared" si="20"/>
        <v>0.46947156278589081</v>
      </c>
      <c r="W40" s="52">
        <f t="shared" si="11"/>
        <v>0.97029572627599647</v>
      </c>
      <c r="X40" s="52">
        <f t="shared" si="12"/>
        <v>0</v>
      </c>
      <c r="Y40" s="15">
        <f t="shared" si="1"/>
        <v>0</v>
      </c>
      <c r="Z40" s="52">
        <f t="shared" si="2"/>
        <v>0</v>
      </c>
      <c r="AA40" s="52">
        <f t="shared" si="3"/>
        <v>0</v>
      </c>
      <c r="AB40" s="15" t="e">
        <f t="shared" si="4"/>
        <v>#DIV/0!</v>
      </c>
      <c r="AC40" s="15" t="e">
        <f t="shared" si="13"/>
        <v>#DIV/0!</v>
      </c>
      <c r="AD40" s="15" t="e">
        <f t="shared" si="5"/>
        <v>#DIV/0!</v>
      </c>
      <c r="AE40" s="15" t="e">
        <f t="shared" si="6"/>
        <v>#DIV/0!</v>
      </c>
      <c r="AF40" s="15" t="e">
        <f t="shared" si="7"/>
        <v>#DIV/0!</v>
      </c>
      <c r="AG40" s="15" t="e">
        <f t="shared" si="8"/>
        <v>#DIV/0!</v>
      </c>
      <c r="AH40" s="53" t="e">
        <f t="shared" si="9"/>
        <v>#DIV/0!</v>
      </c>
      <c r="AI40" s="102" t="e">
        <f t="shared" si="14"/>
        <v>#DIV/0!</v>
      </c>
      <c r="AJ40" s="15"/>
      <c r="AK40" s="15" t="e">
        <f t="shared" si="21"/>
        <v>#DIV/0!</v>
      </c>
      <c r="AL40" s="15" t="e">
        <f t="shared" si="22"/>
        <v>#DIV/0!</v>
      </c>
      <c r="AM40" s="15">
        <f t="shared" si="17"/>
        <v>0</v>
      </c>
      <c r="AN40" s="15" t="e">
        <f t="shared" si="18"/>
        <v>#DIV/0!</v>
      </c>
    </row>
    <row r="41" spans="18:40" ht="13.8" x14ac:dyDescent="0.3">
      <c r="R41" s="51">
        <v>14.5</v>
      </c>
      <c r="S41" s="38">
        <f t="shared" si="10"/>
        <v>29</v>
      </c>
      <c r="T41" s="52">
        <f t="shared" si="0"/>
        <v>0.50614548307835561</v>
      </c>
      <c r="U41" s="52">
        <f t="shared" si="19"/>
        <v>0.25038000405444144</v>
      </c>
      <c r="V41" s="52">
        <f t="shared" si="20"/>
        <v>0.48480962024633706</v>
      </c>
      <c r="W41" s="52">
        <f t="shared" si="11"/>
        <v>0.96814764037810774</v>
      </c>
      <c r="X41" s="52">
        <f t="shared" si="12"/>
        <v>0</v>
      </c>
      <c r="Y41" s="15">
        <f t="shared" si="1"/>
        <v>0</v>
      </c>
      <c r="Z41" s="52">
        <f t="shared" si="2"/>
        <v>0</v>
      </c>
      <c r="AA41" s="52">
        <f t="shared" si="3"/>
        <v>0</v>
      </c>
      <c r="AB41" s="15" t="e">
        <f t="shared" si="4"/>
        <v>#DIV/0!</v>
      </c>
      <c r="AC41" s="15" t="e">
        <f t="shared" si="13"/>
        <v>#DIV/0!</v>
      </c>
      <c r="AD41" s="15" t="e">
        <f t="shared" si="5"/>
        <v>#DIV/0!</v>
      </c>
      <c r="AE41" s="15" t="e">
        <f t="shared" si="6"/>
        <v>#DIV/0!</v>
      </c>
      <c r="AF41" s="15" t="e">
        <f t="shared" si="7"/>
        <v>#DIV/0!</v>
      </c>
      <c r="AG41" s="15" t="e">
        <f t="shared" si="8"/>
        <v>#DIV/0!</v>
      </c>
      <c r="AH41" s="53" t="e">
        <f t="shared" si="9"/>
        <v>#DIV/0!</v>
      </c>
      <c r="AI41" s="102" t="e">
        <f t="shared" si="14"/>
        <v>#DIV/0!</v>
      </c>
      <c r="AJ41" s="15"/>
      <c r="AK41" s="15" t="e">
        <f t="shared" si="21"/>
        <v>#DIV/0!</v>
      </c>
      <c r="AL41" s="15" t="e">
        <f t="shared" si="22"/>
        <v>#DIV/0!</v>
      </c>
      <c r="AM41" s="15">
        <f t="shared" si="17"/>
        <v>0</v>
      </c>
      <c r="AN41" s="15" t="e">
        <f t="shared" si="18"/>
        <v>#DIV/0!</v>
      </c>
    </row>
    <row r="42" spans="18:40" ht="13.8" x14ac:dyDescent="0.3">
      <c r="R42" s="51">
        <v>15</v>
      </c>
      <c r="S42" s="38">
        <f t="shared" si="10"/>
        <v>30</v>
      </c>
      <c r="T42" s="52">
        <f t="shared" si="0"/>
        <v>0.52359877559829882</v>
      </c>
      <c r="U42" s="52">
        <f t="shared" si="19"/>
        <v>0.25881904510252074</v>
      </c>
      <c r="V42" s="52">
        <f t="shared" si="20"/>
        <v>0.49999999999999994</v>
      </c>
      <c r="W42" s="52">
        <f t="shared" si="11"/>
        <v>0.96592582628906831</v>
      </c>
      <c r="X42" s="52">
        <f t="shared" si="12"/>
        <v>0</v>
      </c>
      <c r="Y42" s="15">
        <f t="shared" si="1"/>
        <v>0</v>
      </c>
      <c r="Z42" s="52">
        <f t="shared" si="2"/>
        <v>0</v>
      </c>
      <c r="AA42" s="52">
        <f t="shared" si="3"/>
        <v>0</v>
      </c>
      <c r="AB42" s="15" t="e">
        <f t="shared" si="4"/>
        <v>#DIV/0!</v>
      </c>
      <c r="AC42" s="15" t="e">
        <f t="shared" si="13"/>
        <v>#DIV/0!</v>
      </c>
      <c r="AD42" s="15" t="e">
        <f t="shared" si="5"/>
        <v>#DIV/0!</v>
      </c>
      <c r="AE42" s="15" t="e">
        <f t="shared" si="6"/>
        <v>#DIV/0!</v>
      </c>
      <c r="AF42" s="15" t="e">
        <f t="shared" si="7"/>
        <v>#DIV/0!</v>
      </c>
      <c r="AG42" s="15" t="e">
        <f t="shared" si="8"/>
        <v>#DIV/0!</v>
      </c>
      <c r="AH42" s="53" t="e">
        <f t="shared" si="9"/>
        <v>#DIV/0!</v>
      </c>
      <c r="AI42" s="102" t="e">
        <f t="shared" si="14"/>
        <v>#DIV/0!</v>
      </c>
      <c r="AJ42" s="15"/>
      <c r="AK42" s="15" t="e">
        <f t="shared" si="21"/>
        <v>#DIV/0!</v>
      </c>
      <c r="AL42" s="15" t="e">
        <f t="shared" si="22"/>
        <v>#DIV/0!</v>
      </c>
      <c r="AM42" s="15">
        <f t="shared" si="17"/>
        <v>0</v>
      </c>
      <c r="AN42" s="15" t="e">
        <f t="shared" si="18"/>
        <v>#DIV/0!</v>
      </c>
    </row>
    <row r="43" spans="18:40" ht="13.8" x14ac:dyDescent="0.3">
      <c r="R43" s="51">
        <v>15.5</v>
      </c>
      <c r="S43" s="38">
        <f t="shared" si="10"/>
        <v>31</v>
      </c>
      <c r="T43" s="52">
        <f t="shared" si="0"/>
        <v>0.54105206811824214</v>
      </c>
      <c r="U43" s="52">
        <f t="shared" si="19"/>
        <v>0.26723837607825685</v>
      </c>
      <c r="V43" s="52">
        <f t="shared" si="20"/>
        <v>0.51503807491005416</v>
      </c>
      <c r="W43" s="52">
        <f t="shared" si="11"/>
        <v>0.96363045320862295</v>
      </c>
      <c r="X43" s="52">
        <f t="shared" si="12"/>
        <v>0</v>
      </c>
      <c r="Y43" s="15">
        <f t="shared" si="1"/>
        <v>0</v>
      </c>
      <c r="Z43" s="52">
        <f t="shared" si="2"/>
        <v>0</v>
      </c>
      <c r="AA43" s="52">
        <f t="shared" si="3"/>
        <v>0</v>
      </c>
      <c r="AB43" s="15" t="e">
        <f t="shared" si="4"/>
        <v>#DIV/0!</v>
      </c>
      <c r="AC43" s="15" t="e">
        <f t="shared" si="13"/>
        <v>#DIV/0!</v>
      </c>
      <c r="AD43" s="15" t="e">
        <f t="shared" si="5"/>
        <v>#DIV/0!</v>
      </c>
      <c r="AE43" s="15" t="e">
        <f t="shared" si="6"/>
        <v>#DIV/0!</v>
      </c>
      <c r="AF43" s="15" t="e">
        <f t="shared" si="7"/>
        <v>#DIV/0!</v>
      </c>
      <c r="AG43" s="15" t="e">
        <f t="shared" si="8"/>
        <v>#DIV/0!</v>
      </c>
      <c r="AH43" s="53" t="e">
        <f t="shared" si="9"/>
        <v>#DIV/0!</v>
      </c>
      <c r="AI43" s="102" t="e">
        <f t="shared" si="14"/>
        <v>#DIV/0!</v>
      </c>
      <c r="AJ43" s="15"/>
      <c r="AK43" s="15" t="e">
        <f t="shared" si="21"/>
        <v>#DIV/0!</v>
      </c>
      <c r="AL43" s="15" t="e">
        <f t="shared" si="22"/>
        <v>#DIV/0!</v>
      </c>
      <c r="AM43" s="15">
        <f t="shared" si="17"/>
        <v>0</v>
      </c>
      <c r="AN43" s="15" t="e">
        <f t="shared" si="18"/>
        <v>#DIV/0!</v>
      </c>
    </row>
    <row r="44" spans="18:40" ht="13.8" x14ac:dyDescent="0.3">
      <c r="R44" s="51">
        <v>16</v>
      </c>
      <c r="S44" s="38">
        <f t="shared" si="10"/>
        <v>32</v>
      </c>
      <c r="T44" s="52">
        <f t="shared" si="0"/>
        <v>0.55850536063818546</v>
      </c>
      <c r="U44" s="52">
        <f t="shared" si="19"/>
        <v>0.27563735581699916</v>
      </c>
      <c r="V44" s="52">
        <f t="shared" si="20"/>
        <v>0.5299192642332049</v>
      </c>
      <c r="W44" s="52">
        <f t="shared" si="11"/>
        <v>0.96126169593831889</v>
      </c>
      <c r="X44" s="52">
        <f t="shared" si="12"/>
        <v>0</v>
      </c>
      <c r="Y44" s="15">
        <f t="shared" si="1"/>
        <v>0</v>
      </c>
      <c r="Z44" s="52">
        <f t="shared" si="2"/>
        <v>0</v>
      </c>
      <c r="AA44" s="52">
        <f t="shared" si="3"/>
        <v>0</v>
      </c>
      <c r="AB44" s="15" t="e">
        <f t="shared" si="4"/>
        <v>#DIV/0!</v>
      </c>
      <c r="AC44" s="15" t="e">
        <f t="shared" si="13"/>
        <v>#DIV/0!</v>
      </c>
      <c r="AD44" s="15" t="e">
        <f t="shared" si="5"/>
        <v>#DIV/0!</v>
      </c>
      <c r="AE44" s="15" t="e">
        <f t="shared" si="6"/>
        <v>#DIV/0!</v>
      </c>
      <c r="AF44" s="15" t="e">
        <f t="shared" si="7"/>
        <v>#DIV/0!</v>
      </c>
      <c r="AG44" s="15" t="e">
        <f t="shared" si="8"/>
        <v>#DIV/0!</v>
      </c>
      <c r="AH44" s="53" t="e">
        <f t="shared" si="9"/>
        <v>#DIV/0!</v>
      </c>
      <c r="AI44" s="102" t="e">
        <f t="shared" si="14"/>
        <v>#DIV/0!</v>
      </c>
      <c r="AJ44" s="15"/>
      <c r="AK44" s="15" t="e">
        <f t="shared" si="21"/>
        <v>#DIV/0!</v>
      </c>
      <c r="AL44" s="15" t="e">
        <f t="shared" si="22"/>
        <v>#DIV/0!</v>
      </c>
      <c r="AM44" s="15">
        <f t="shared" si="17"/>
        <v>0</v>
      </c>
      <c r="AN44" s="15" t="e">
        <f t="shared" si="18"/>
        <v>#DIV/0!</v>
      </c>
    </row>
    <row r="45" spans="18:40" ht="13.8" x14ac:dyDescent="0.3">
      <c r="R45" s="51">
        <v>16.5</v>
      </c>
      <c r="S45" s="38">
        <f t="shared" si="10"/>
        <v>33</v>
      </c>
      <c r="T45" s="52">
        <f t="shared" si="0"/>
        <v>0.57595865315812877</v>
      </c>
      <c r="U45" s="52">
        <f t="shared" si="19"/>
        <v>0.28401534470392265</v>
      </c>
      <c r="V45" s="52">
        <f t="shared" si="20"/>
        <v>0.54463903501502708</v>
      </c>
      <c r="W45" s="52">
        <f t="shared" si="11"/>
        <v>0.95881973486819305</v>
      </c>
      <c r="X45" s="52">
        <f t="shared" si="12"/>
        <v>0</v>
      </c>
      <c r="Y45" s="15">
        <f t="shared" si="1"/>
        <v>0</v>
      </c>
      <c r="Z45" s="52">
        <f t="shared" si="2"/>
        <v>0</v>
      </c>
      <c r="AA45" s="52">
        <f t="shared" si="3"/>
        <v>0</v>
      </c>
      <c r="AB45" s="15" t="e">
        <f t="shared" si="4"/>
        <v>#DIV/0!</v>
      </c>
      <c r="AC45" s="15" t="e">
        <f t="shared" si="13"/>
        <v>#DIV/0!</v>
      </c>
      <c r="AD45" s="15" t="e">
        <f t="shared" si="5"/>
        <v>#DIV/0!</v>
      </c>
      <c r="AE45" s="15" t="e">
        <f t="shared" si="6"/>
        <v>#DIV/0!</v>
      </c>
      <c r="AF45" s="15" t="e">
        <f t="shared" si="7"/>
        <v>#DIV/0!</v>
      </c>
      <c r="AG45" s="15" t="e">
        <f t="shared" si="8"/>
        <v>#DIV/0!</v>
      </c>
      <c r="AH45" s="53" t="e">
        <f t="shared" si="9"/>
        <v>#DIV/0!</v>
      </c>
      <c r="AI45" s="102" t="e">
        <f t="shared" si="14"/>
        <v>#DIV/0!</v>
      </c>
      <c r="AJ45" s="15"/>
      <c r="AK45" s="15" t="e">
        <f t="shared" si="21"/>
        <v>#DIV/0!</v>
      </c>
      <c r="AL45" s="15" t="e">
        <f t="shared" si="22"/>
        <v>#DIV/0!</v>
      </c>
      <c r="AM45" s="15">
        <f t="shared" si="17"/>
        <v>0</v>
      </c>
      <c r="AN45" s="15" t="e">
        <f t="shared" si="18"/>
        <v>#DIV/0!</v>
      </c>
    </row>
    <row r="46" spans="18:40" ht="13.8" x14ac:dyDescent="0.3">
      <c r="R46" s="51">
        <v>17</v>
      </c>
      <c r="S46" s="38">
        <f t="shared" si="10"/>
        <v>34</v>
      </c>
      <c r="T46" s="52">
        <f t="shared" si="0"/>
        <v>0.59341194567807209</v>
      </c>
      <c r="U46" s="52">
        <f t="shared" si="19"/>
        <v>0.29237170472273677</v>
      </c>
      <c r="V46" s="52">
        <f t="shared" si="20"/>
        <v>0.5591929034707469</v>
      </c>
      <c r="W46" s="52">
        <f t="shared" si="11"/>
        <v>0.95630475596303544</v>
      </c>
      <c r="X46" s="52">
        <f t="shared" si="12"/>
        <v>0</v>
      </c>
      <c r="Y46" s="15">
        <f t="shared" si="1"/>
        <v>0</v>
      </c>
      <c r="Z46" s="52">
        <f t="shared" si="2"/>
        <v>0</v>
      </c>
      <c r="AA46" s="52">
        <f t="shared" si="3"/>
        <v>0</v>
      </c>
      <c r="AB46" s="15" t="e">
        <f t="shared" si="4"/>
        <v>#DIV/0!</v>
      </c>
      <c r="AC46" s="15" t="e">
        <f t="shared" si="13"/>
        <v>#DIV/0!</v>
      </c>
      <c r="AD46" s="15" t="e">
        <f t="shared" si="5"/>
        <v>#DIV/0!</v>
      </c>
      <c r="AE46" s="15" t="e">
        <f t="shared" si="6"/>
        <v>#DIV/0!</v>
      </c>
      <c r="AF46" s="15" t="e">
        <f t="shared" si="7"/>
        <v>#DIV/0!</v>
      </c>
      <c r="AG46" s="15" t="e">
        <f t="shared" si="8"/>
        <v>#DIV/0!</v>
      </c>
      <c r="AH46" s="53" t="e">
        <f t="shared" si="9"/>
        <v>#DIV/0!</v>
      </c>
      <c r="AI46" s="102" t="e">
        <f t="shared" si="14"/>
        <v>#DIV/0!</v>
      </c>
      <c r="AJ46" s="15"/>
      <c r="AK46" s="15" t="e">
        <f t="shared" si="21"/>
        <v>#DIV/0!</v>
      </c>
      <c r="AL46" s="15" t="e">
        <f t="shared" si="22"/>
        <v>#DIV/0!</v>
      </c>
      <c r="AM46" s="15">
        <f t="shared" si="17"/>
        <v>0</v>
      </c>
      <c r="AN46" s="15" t="e">
        <f t="shared" si="18"/>
        <v>#DIV/0!</v>
      </c>
    </row>
    <row r="47" spans="18:40" ht="13.8" x14ac:dyDescent="0.3">
      <c r="R47" s="51">
        <v>17.5</v>
      </c>
      <c r="S47" s="38">
        <f t="shared" si="10"/>
        <v>35</v>
      </c>
      <c r="T47" s="52">
        <f t="shared" si="0"/>
        <v>0.6108652381980153</v>
      </c>
      <c r="U47" s="52">
        <f t="shared" si="19"/>
        <v>0.30070579950427312</v>
      </c>
      <c r="V47" s="52">
        <f t="shared" si="20"/>
        <v>0.57357643635104605</v>
      </c>
      <c r="W47" s="52">
        <f t="shared" si="11"/>
        <v>0.95371695074822693</v>
      </c>
      <c r="X47" s="52">
        <f t="shared" si="12"/>
        <v>0</v>
      </c>
      <c r="Y47" s="15">
        <f t="shared" si="1"/>
        <v>0</v>
      </c>
      <c r="Z47" s="52">
        <f t="shared" si="2"/>
        <v>0</v>
      </c>
      <c r="AA47" s="52">
        <f t="shared" si="3"/>
        <v>0</v>
      </c>
      <c r="AB47" s="15" t="e">
        <f t="shared" si="4"/>
        <v>#DIV/0!</v>
      </c>
      <c r="AC47" s="15" t="e">
        <f t="shared" si="13"/>
        <v>#DIV/0!</v>
      </c>
      <c r="AD47" s="15" t="e">
        <f t="shared" si="5"/>
        <v>#DIV/0!</v>
      </c>
      <c r="AE47" s="15" t="e">
        <f t="shared" si="6"/>
        <v>#DIV/0!</v>
      </c>
      <c r="AF47" s="15" t="e">
        <f t="shared" si="7"/>
        <v>#DIV/0!</v>
      </c>
      <c r="AG47" s="15" t="e">
        <f t="shared" si="8"/>
        <v>#DIV/0!</v>
      </c>
      <c r="AH47" s="53" t="e">
        <f t="shared" si="9"/>
        <v>#DIV/0!</v>
      </c>
      <c r="AI47" s="102" t="e">
        <f t="shared" si="14"/>
        <v>#DIV/0!</v>
      </c>
      <c r="AJ47" s="15"/>
      <c r="AK47" s="15" t="e">
        <f t="shared" si="21"/>
        <v>#DIV/0!</v>
      </c>
      <c r="AL47" s="15" t="e">
        <f t="shared" si="22"/>
        <v>#DIV/0!</v>
      </c>
      <c r="AM47" s="15">
        <f t="shared" si="17"/>
        <v>0</v>
      </c>
      <c r="AN47" s="15" t="e">
        <f t="shared" si="18"/>
        <v>#DIV/0!</v>
      </c>
    </row>
    <row r="48" spans="18:40" ht="13.8" x14ac:dyDescent="0.3">
      <c r="R48" s="51">
        <v>18</v>
      </c>
      <c r="S48" s="38">
        <f t="shared" si="10"/>
        <v>36</v>
      </c>
      <c r="T48" s="52">
        <f t="shared" si="0"/>
        <v>0.62831853071795862</v>
      </c>
      <c r="U48" s="52">
        <f t="shared" si="19"/>
        <v>0.3090169943749474</v>
      </c>
      <c r="V48" s="52">
        <f t="shared" si="20"/>
        <v>0.58778525229247314</v>
      </c>
      <c r="W48" s="52">
        <f t="shared" si="11"/>
        <v>0.95105651629515353</v>
      </c>
      <c r="X48" s="52">
        <f t="shared" si="12"/>
        <v>0</v>
      </c>
      <c r="Y48" s="15">
        <f t="shared" si="1"/>
        <v>0</v>
      </c>
      <c r="Z48" s="52">
        <f t="shared" si="2"/>
        <v>0</v>
      </c>
      <c r="AA48" s="52">
        <f t="shared" si="3"/>
        <v>0</v>
      </c>
      <c r="AB48" s="15" t="e">
        <f t="shared" si="4"/>
        <v>#DIV/0!</v>
      </c>
      <c r="AC48" s="15" t="e">
        <f t="shared" si="13"/>
        <v>#DIV/0!</v>
      </c>
      <c r="AD48" s="15" t="e">
        <f t="shared" si="5"/>
        <v>#DIV/0!</v>
      </c>
      <c r="AE48" s="15" t="e">
        <f t="shared" si="6"/>
        <v>#DIV/0!</v>
      </c>
      <c r="AF48" s="15" t="e">
        <f t="shared" si="7"/>
        <v>#DIV/0!</v>
      </c>
      <c r="AG48" s="15" t="e">
        <f t="shared" si="8"/>
        <v>#DIV/0!</v>
      </c>
      <c r="AH48" s="53" t="e">
        <f t="shared" si="9"/>
        <v>#DIV/0!</v>
      </c>
      <c r="AI48" s="102" t="e">
        <f t="shared" si="14"/>
        <v>#DIV/0!</v>
      </c>
      <c r="AJ48" s="15"/>
      <c r="AK48" s="15" t="e">
        <f t="shared" si="21"/>
        <v>#DIV/0!</v>
      </c>
      <c r="AL48" s="15" t="e">
        <f t="shared" si="22"/>
        <v>#DIV/0!</v>
      </c>
      <c r="AM48" s="15">
        <f t="shared" si="17"/>
        <v>0</v>
      </c>
      <c r="AN48" s="15" t="e">
        <f t="shared" si="18"/>
        <v>#DIV/0!</v>
      </c>
    </row>
    <row r="49" spans="18:40" ht="13.8" x14ac:dyDescent="0.3">
      <c r="R49" s="51">
        <v>18.5</v>
      </c>
      <c r="S49" s="38">
        <f t="shared" si="10"/>
        <v>37</v>
      </c>
      <c r="T49" s="52">
        <f t="shared" si="0"/>
        <v>0.64577182323790194</v>
      </c>
      <c r="U49" s="52">
        <f t="shared" si="19"/>
        <v>0.31730465640509214</v>
      </c>
      <c r="V49" s="52">
        <f t="shared" si="20"/>
        <v>0.60181502315204827</v>
      </c>
      <c r="W49" s="52">
        <f t="shared" si="11"/>
        <v>0.94832365520619932</v>
      </c>
      <c r="X49" s="52">
        <f t="shared" si="12"/>
        <v>0</v>
      </c>
      <c r="Y49" s="15">
        <f t="shared" si="1"/>
        <v>0</v>
      </c>
      <c r="Z49" s="52">
        <f t="shared" si="2"/>
        <v>0</v>
      </c>
      <c r="AA49" s="52">
        <f t="shared" si="3"/>
        <v>0</v>
      </c>
      <c r="AB49" s="15" t="e">
        <f t="shared" si="4"/>
        <v>#DIV/0!</v>
      </c>
      <c r="AC49" s="15" t="e">
        <f t="shared" si="13"/>
        <v>#DIV/0!</v>
      </c>
      <c r="AD49" s="15" t="e">
        <f t="shared" si="5"/>
        <v>#DIV/0!</v>
      </c>
      <c r="AE49" s="15" t="e">
        <f t="shared" si="6"/>
        <v>#DIV/0!</v>
      </c>
      <c r="AF49" s="15" t="e">
        <f t="shared" si="7"/>
        <v>#DIV/0!</v>
      </c>
      <c r="AG49" s="15" t="e">
        <f t="shared" si="8"/>
        <v>#DIV/0!</v>
      </c>
      <c r="AH49" s="53" t="e">
        <f t="shared" si="9"/>
        <v>#DIV/0!</v>
      </c>
      <c r="AI49" s="102" t="e">
        <f t="shared" si="14"/>
        <v>#DIV/0!</v>
      </c>
      <c r="AJ49" s="15"/>
      <c r="AK49" s="15" t="e">
        <f t="shared" si="21"/>
        <v>#DIV/0!</v>
      </c>
      <c r="AL49" s="15" t="e">
        <f t="shared" si="22"/>
        <v>#DIV/0!</v>
      </c>
      <c r="AM49" s="15">
        <f t="shared" si="17"/>
        <v>0</v>
      </c>
      <c r="AN49" s="15" t="e">
        <f t="shared" si="18"/>
        <v>#DIV/0!</v>
      </c>
    </row>
    <row r="50" spans="18:40" ht="13.8" x14ac:dyDescent="0.3">
      <c r="R50" s="51">
        <v>19</v>
      </c>
      <c r="S50" s="38">
        <f t="shared" si="10"/>
        <v>38</v>
      </c>
      <c r="T50" s="52">
        <f t="shared" si="0"/>
        <v>0.66322511575784526</v>
      </c>
      <c r="U50" s="52">
        <f t="shared" si="19"/>
        <v>0.3255681544571567</v>
      </c>
      <c r="V50" s="52">
        <f t="shared" si="20"/>
        <v>0.61566147532565829</v>
      </c>
      <c r="W50" s="52">
        <f t="shared" si="11"/>
        <v>0.94551857559931685</v>
      </c>
      <c r="X50" s="52">
        <f t="shared" si="12"/>
        <v>0</v>
      </c>
      <c r="Y50" s="15">
        <f t="shared" si="1"/>
        <v>0</v>
      </c>
      <c r="Z50" s="52">
        <f t="shared" si="2"/>
        <v>0</v>
      </c>
      <c r="AA50" s="52">
        <f t="shared" si="3"/>
        <v>0</v>
      </c>
      <c r="AB50" s="15" t="e">
        <f t="shared" si="4"/>
        <v>#DIV/0!</v>
      </c>
      <c r="AC50" s="15" t="e">
        <f t="shared" si="13"/>
        <v>#DIV/0!</v>
      </c>
      <c r="AD50" s="15" t="e">
        <f t="shared" si="5"/>
        <v>#DIV/0!</v>
      </c>
      <c r="AE50" s="15" t="e">
        <f t="shared" si="6"/>
        <v>#DIV/0!</v>
      </c>
      <c r="AF50" s="15" t="e">
        <f t="shared" si="7"/>
        <v>#DIV/0!</v>
      </c>
      <c r="AG50" s="15" t="e">
        <f t="shared" si="8"/>
        <v>#DIV/0!</v>
      </c>
      <c r="AH50" s="53" t="e">
        <f t="shared" si="9"/>
        <v>#DIV/0!</v>
      </c>
      <c r="AI50" s="102" t="e">
        <f t="shared" si="14"/>
        <v>#DIV/0!</v>
      </c>
      <c r="AJ50" s="15"/>
      <c r="AK50" s="15" t="e">
        <f t="shared" si="21"/>
        <v>#DIV/0!</v>
      </c>
      <c r="AL50" s="15" t="e">
        <f t="shared" si="22"/>
        <v>#DIV/0!</v>
      </c>
      <c r="AM50" s="15">
        <f t="shared" si="17"/>
        <v>0</v>
      </c>
      <c r="AN50" s="15" t="e">
        <f t="shared" si="18"/>
        <v>#DIV/0!</v>
      </c>
    </row>
    <row r="51" spans="18:40" ht="13.8" x14ac:dyDescent="0.3">
      <c r="R51" s="51">
        <v>19.5</v>
      </c>
      <c r="S51" s="38">
        <f t="shared" si="10"/>
        <v>39</v>
      </c>
      <c r="T51" s="52">
        <f t="shared" si="0"/>
        <v>0.68067840827778847</v>
      </c>
      <c r="U51" s="52">
        <f t="shared" si="19"/>
        <v>0.3338068592337709</v>
      </c>
      <c r="V51" s="52">
        <f t="shared" si="20"/>
        <v>0.62932039104983739</v>
      </c>
      <c r="W51" s="52">
        <f t="shared" si="11"/>
        <v>0.94264149109217843</v>
      </c>
      <c r="X51" s="52">
        <f t="shared" si="12"/>
        <v>0</v>
      </c>
      <c r="Y51" s="15">
        <f t="shared" si="1"/>
        <v>0</v>
      </c>
      <c r="Z51" s="52">
        <f t="shared" si="2"/>
        <v>0</v>
      </c>
      <c r="AA51" s="52">
        <f t="shared" si="3"/>
        <v>0</v>
      </c>
      <c r="AB51" s="15" t="e">
        <f t="shared" si="4"/>
        <v>#DIV/0!</v>
      </c>
      <c r="AC51" s="15" t="e">
        <f t="shared" si="13"/>
        <v>#DIV/0!</v>
      </c>
      <c r="AD51" s="15" t="e">
        <f t="shared" si="5"/>
        <v>#DIV/0!</v>
      </c>
      <c r="AE51" s="15" t="e">
        <f t="shared" si="6"/>
        <v>#DIV/0!</v>
      </c>
      <c r="AF51" s="15" t="e">
        <f t="shared" si="7"/>
        <v>#DIV/0!</v>
      </c>
      <c r="AG51" s="15" t="e">
        <f t="shared" si="8"/>
        <v>#DIV/0!</v>
      </c>
      <c r="AH51" s="53" t="e">
        <f t="shared" si="9"/>
        <v>#DIV/0!</v>
      </c>
      <c r="AI51" s="102" t="e">
        <f t="shared" si="14"/>
        <v>#DIV/0!</v>
      </c>
      <c r="AJ51" s="15"/>
      <c r="AK51" s="15" t="e">
        <f t="shared" si="21"/>
        <v>#DIV/0!</v>
      </c>
      <c r="AL51" s="15" t="e">
        <f t="shared" si="22"/>
        <v>#DIV/0!</v>
      </c>
      <c r="AM51" s="15">
        <f t="shared" si="17"/>
        <v>0</v>
      </c>
      <c r="AN51" s="15" t="e">
        <f t="shared" si="18"/>
        <v>#DIV/0!</v>
      </c>
    </row>
    <row r="52" spans="18:40" ht="13.8" x14ac:dyDescent="0.3">
      <c r="R52" s="51">
        <v>20</v>
      </c>
      <c r="S52" s="38">
        <f t="shared" si="10"/>
        <v>40</v>
      </c>
      <c r="T52" s="52">
        <f t="shared" si="0"/>
        <v>0.69813170079773179</v>
      </c>
      <c r="U52" s="52">
        <f t="shared" si="19"/>
        <v>0.34202014332566871</v>
      </c>
      <c r="V52" s="52">
        <f t="shared" si="20"/>
        <v>0.64278760968653925</v>
      </c>
      <c r="W52" s="52">
        <f t="shared" si="11"/>
        <v>0.93969262078590843</v>
      </c>
      <c r="X52" s="52">
        <f t="shared" si="12"/>
        <v>0</v>
      </c>
      <c r="Y52" s="15">
        <f t="shared" si="1"/>
        <v>0</v>
      </c>
      <c r="Z52" s="52">
        <f t="shared" si="2"/>
        <v>0</v>
      </c>
      <c r="AA52" s="52">
        <f t="shared" si="3"/>
        <v>0</v>
      </c>
      <c r="AB52" s="15" t="e">
        <f t="shared" si="4"/>
        <v>#DIV/0!</v>
      </c>
      <c r="AC52" s="15" t="e">
        <f t="shared" si="13"/>
        <v>#DIV/0!</v>
      </c>
      <c r="AD52" s="15" t="e">
        <f t="shared" si="5"/>
        <v>#DIV/0!</v>
      </c>
      <c r="AE52" s="15" t="e">
        <f t="shared" si="6"/>
        <v>#DIV/0!</v>
      </c>
      <c r="AF52" s="15" t="e">
        <f t="shared" si="7"/>
        <v>#DIV/0!</v>
      </c>
      <c r="AG52" s="15" t="e">
        <f t="shared" si="8"/>
        <v>#DIV/0!</v>
      </c>
      <c r="AH52" s="53" t="e">
        <f t="shared" si="9"/>
        <v>#DIV/0!</v>
      </c>
      <c r="AI52" s="102" t="e">
        <f t="shared" si="14"/>
        <v>#DIV/0!</v>
      </c>
      <c r="AJ52" s="15"/>
      <c r="AK52" s="15" t="e">
        <f t="shared" si="21"/>
        <v>#DIV/0!</v>
      </c>
      <c r="AL52" s="15" t="e">
        <f t="shared" si="22"/>
        <v>#DIV/0!</v>
      </c>
      <c r="AM52" s="15">
        <f t="shared" si="17"/>
        <v>0</v>
      </c>
      <c r="AN52" s="15" t="e">
        <f t="shared" si="18"/>
        <v>#DIV/0!</v>
      </c>
    </row>
    <row r="53" spans="18:40" ht="13.8" x14ac:dyDescent="0.3">
      <c r="R53" s="51">
        <v>20.5</v>
      </c>
      <c r="S53" s="38">
        <f t="shared" si="10"/>
        <v>41</v>
      </c>
      <c r="T53" s="52">
        <f t="shared" si="0"/>
        <v>0.71558499331767511</v>
      </c>
      <c r="U53" s="52">
        <f t="shared" si="19"/>
        <v>0.35020738125946743</v>
      </c>
      <c r="V53" s="52">
        <f t="shared" si="20"/>
        <v>0.65605902899050728</v>
      </c>
      <c r="W53" s="52">
        <f t="shared" si="11"/>
        <v>0.93667218924839757</v>
      </c>
      <c r="X53" s="52">
        <f t="shared" si="12"/>
        <v>0</v>
      </c>
      <c r="Y53" s="15">
        <f t="shared" si="1"/>
        <v>0</v>
      </c>
      <c r="Z53" s="52">
        <f t="shared" si="2"/>
        <v>0</v>
      </c>
      <c r="AA53" s="52">
        <f t="shared" si="3"/>
        <v>0</v>
      </c>
      <c r="AB53" s="15" t="e">
        <f t="shared" si="4"/>
        <v>#DIV/0!</v>
      </c>
      <c r="AC53" s="15" t="e">
        <f t="shared" si="13"/>
        <v>#DIV/0!</v>
      </c>
      <c r="AD53" s="15" t="e">
        <f t="shared" si="5"/>
        <v>#DIV/0!</v>
      </c>
      <c r="AE53" s="15" t="e">
        <f t="shared" si="6"/>
        <v>#DIV/0!</v>
      </c>
      <c r="AF53" s="15" t="e">
        <f t="shared" si="7"/>
        <v>#DIV/0!</v>
      </c>
      <c r="AG53" s="15" t="e">
        <f t="shared" si="8"/>
        <v>#DIV/0!</v>
      </c>
      <c r="AH53" s="53" t="e">
        <f t="shared" si="9"/>
        <v>#DIV/0!</v>
      </c>
      <c r="AI53" s="102" t="e">
        <f t="shared" si="14"/>
        <v>#DIV/0!</v>
      </c>
      <c r="AJ53" s="15"/>
      <c r="AK53" s="15" t="e">
        <f t="shared" si="21"/>
        <v>#DIV/0!</v>
      </c>
      <c r="AL53" s="15" t="e">
        <f t="shared" si="22"/>
        <v>#DIV/0!</v>
      </c>
      <c r="AM53" s="15">
        <f t="shared" si="17"/>
        <v>0</v>
      </c>
      <c r="AN53" s="15" t="e">
        <f t="shared" si="18"/>
        <v>#DIV/0!</v>
      </c>
    </row>
    <row r="54" spans="18:40" ht="13.8" x14ac:dyDescent="0.3">
      <c r="R54" s="51">
        <v>21</v>
      </c>
      <c r="S54" s="38">
        <f t="shared" si="10"/>
        <v>42</v>
      </c>
      <c r="T54" s="52">
        <f t="shared" si="0"/>
        <v>0.73303828583761843</v>
      </c>
      <c r="U54" s="52">
        <f t="shared" si="19"/>
        <v>0.35836794954530027</v>
      </c>
      <c r="V54" s="52">
        <f t="shared" si="20"/>
        <v>0.66913060635885824</v>
      </c>
      <c r="W54" s="52">
        <f t="shared" si="11"/>
        <v>0.93358042649720174</v>
      </c>
      <c r="X54" s="52">
        <f t="shared" si="12"/>
        <v>0</v>
      </c>
      <c r="Y54" s="15">
        <f t="shared" si="1"/>
        <v>0</v>
      </c>
      <c r="Z54" s="52">
        <f t="shared" si="2"/>
        <v>0</v>
      </c>
      <c r="AA54" s="52">
        <f t="shared" si="3"/>
        <v>0</v>
      </c>
      <c r="AB54" s="15" t="e">
        <f t="shared" si="4"/>
        <v>#DIV/0!</v>
      </c>
      <c r="AC54" s="15" t="e">
        <f t="shared" si="13"/>
        <v>#DIV/0!</v>
      </c>
      <c r="AD54" s="15" t="e">
        <f t="shared" si="5"/>
        <v>#DIV/0!</v>
      </c>
      <c r="AE54" s="15" t="e">
        <f t="shared" si="6"/>
        <v>#DIV/0!</v>
      </c>
      <c r="AF54" s="15" t="e">
        <f t="shared" si="7"/>
        <v>#DIV/0!</v>
      </c>
      <c r="AG54" s="15" t="e">
        <f t="shared" si="8"/>
        <v>#DIV/0!</v>
      </c>
      <c r="AH54" s="53" t="e">
        <f t="shared" si="9"/>
        <v>#DIV/0!</v>
      </c>
      <c r="AI54" s="102" t="e">
        <f t="shared" si="14"/>
        <v>#DIV/0!</v>
      </c>
      <c r="AJ54" s="15"/>
      <c r="AK54" s="15" t="e">
        <f t="shared" si="21"/>
        <v>#DIV/0!</v>
      </c>
      <c r="AL54" s="15" t="e">
        <f t="shared" si="22"/>
        <v>#DIV/0!</v>
      </c>
      <c r="AM54" s="15">
        <f t="shared" si="17"/>
        <v>0</v>
      </c>
      <c r="AN54" s="15" t="e">
        <f t="shared" si="18"/>
        <v>#DIV/0!</v>
      </c>
    </row>
    <row r="55" spans="18:40" ht="13.8" x14ac:dyDescent="0.3">
      <c r="R55" s="51">
        <v>21.5</v>
      </c>
      <c r="S55" s="38">
        <f t="shared" si="10"/>
        <v>43</v>
      </c>
      <c r="T55" s="52">
        <f t="shared" si="0"/>
        <v>0.75049157835756175</v>
      </c>
      <c r="U55" s="52">
        <f t="shared" si="19"/>
        <v>0.3665012267242973</v>
      </c>
      <c r="V55" s="52">
        <f t="shared" si="20"/>
        <v>0.68199836006249848</v>
      </c>
      <c r="W55" s="52">
        <f t="shared" si="11"/>
        <v>0.93041756798202457</v>
      </c>
      <c r="X55" s="52">
        <f t="shared" si="12"/>
        <v>0</v>
      </c>
      <c r="Y55" s="15">
        <f t="shared" si="1"/>
        <v>0</v>
      </c>
      <c r="Z55" s="52">
        <f t="shared" si="2"/>
        <v>0</v>
      </c>
      <c r="AA55" s="52">
        <f t="shared" si="3"/>
        <v>0</v>
      </c>
      <c r="AB55" s="15" t="e">
        <f t="shared" si="4"/>
        <v>#DIV/0!</v>
      </c>
      <c r="AC55" s="15" t="e">
        <f t="shared" si="13"/>
        <v>#DIV/0!</v>
      </c>
      <c r="AD55" s="15" t="e">
        <f t="shared" si="5"/>
        <v>#DIV/0!</v>
      </c>
      <c r="AE55" s="15" t="e">
        <f t="shared" si="6"/>
        <v>#DIV/0!</v>
      </c>
      <c r="AF55" s="15" t="e">
        <f t="shared" si="7"/>
        <v>#DIV/0!</v>
      </c>
      <c r="AG55" s="15" t="e">
        <f t="shared" si="8"/>
        <v>#DIV/0!</v>
      </c>
      <c r="AH55" s="53" t="e">
        <f t="shared" si="9"/>
        <v>#DIV/0!</v>
      </c>
      <c r="AI55" s="102" t="e">
        <f t="shared" si="14"/>
        <v>#DIV/0!</v>
      </c>
      <c r="AJ55" s="15"/>
      <c r="AK55" s="15" t="e">
        <f t="shared" si="21"/>
        <v>#DIV/0!</v>
      </c>
      <c r="AL55" s="15" t="e">
        <f t="shared" si="22"/>
        <v>#DIV/0!</v>
      </c>
      <c r="AM55" s="15">
        <f t="shared" si="17"/>
        <v>0</v>
      </c>
      <c r="AN55" s="15" t="e">
        <f t="shared" si="18"/>
        <v>#DIV/0!</v>
      </c>
    </row>
    <row r="56" spans="18:40" ht="13.8" x14ac:dyDescent="0.3">
      <c r="R56" s="51">
        <v>22</v>
      </c>
      <c r="S56" s="38">
        <f t="shared" si="10"/>
        <v>44</v>
      </c>
      <c r="T56" s="52">
        <f t="shared" si="0"/>
        <v>0.76794487087750496</v>
      </c>
      <c r="U56" s="52">
        <f t="shared" si="19"/>
        <v>0.37460659341591201</v>
      </c>
      <c r="V56" s="52">
        <f t="shared" si="20"/>
        <v>0.69465837045899725</v>
      </c>
      <c r="W56" s="52">
        <f t="shared" si="11"/>
        <v>0.92718385456678742</v>
      </c>
      <c r="X56" s="52">
        <f t="shared" si="12"/>
        <v>0</v>
      </c>
      <c r="Y56" s="15">
        <f t="shared" si="1"/>
        <v>0</v>
      </c>
      <c r="Z56" s="52">
        <f t="shared" si="2"/>
        <v>0</v>
      </c>
      <c r="AA56" s="52">
        <f t="shared" si="3"/>
        <v>0</v>
      </c>
      <c r="AB56" s="15" t="e">
        <f t="shared" si="4"/>
        <v>#DIV/0!</v>
      </c>
      <c r="AC56" s="15" t="e">
        <f t="shared" si="13"/>
        <v>#DIV/0!</v>
      </c>
      <c r="AD56" s="15" t="e">
        <f t="shared" si="5"/>
        <v>#DIV/0!</v>
      </c>
      <c r="AE56" s="15" t="e">
        <f t="shared" si="6"/>
        <v>#DIV/0!</v>
      </c>
      <c r="AF56" s="15" t="e">
        <f t="shared" si="7"/>
        <v>#DIV/0!</v>
      </c>
      <c r="AG56" s="15" t="e">
        <f t="shared" si="8"/>
        <v>#DIV/0!</v>
      </c>
      <c r="AH56" s="53" t="e">
        <f t="shared" si="9"/>
        <v>#DIV/0!</v>
      </c>
      <c r="AI56" s="102" t="e">
        <f t="shared" si="14"/>
        <v>#DIV/0!</v>
      </c>
      <c r="AJ56" s="15"/>
      <c r="AK56" s="15" t="e">
        <f t="shared" si="21"/>
        <v>#DIV/0!</v>
      </c>
      <c r="AL56" s="15" t="e">
        <f t="shared" si="22"/>
        <v>#DIV/0!</v>
      </c>
      <c r="AM56" s="15">
        <f t="shared" si="17"/>
        <v>0</v>
      </c>
      <c r="AN56" s="15" t="e">
        <f t="shared" si="18"/>
        <v>#DIV/0!</v>
      </c>
    </row>
    <row r="57" spans="18:40" ht="13.8" x14ac:dyDescent="0.3">
      <c r="R57" s="51">
        <v>22.5</v>
      </c>
      <c r="S57" s="38">
        <f t="shared" si="10"/>
        <v>45</v>
      </c>
      <c r="T57" s="52">
        <f t="shared" si="0"/>
        <v>0.78539816339744828</v>
      </c>
      <c r="U57" s="52">
        <f t="shared" si="19"/>
        <v>0.38268343236508978</v>
      </c>
      <c r="V57" s="52">
        <f t="shared" si="20"/>
        <v>0.70710678118654746</v>
      </c>
      <c r="W57" s="52">
        <f t="shared" si="11"/>
        <v>0.92387953251128674</v>
      </c>
      <c r="X57" s="52">
        <f t="shared" si="12"/>
        <v>0</v>
      </c>
      <c r="Y57" s="15">
        <f t="shared" si="1"/>
        <v>0</v>
      </c>
      <c r="Z57" s="52">
        <f t="shared" si="2"/>
        <v>0</v>
      </c>
      <c r="AA57" s="52">
        <f t="shared" si="3"/>
        <v>0</v>
      </c>
      <c r="AB57" s="15" t="e">
        <f t="shared" si="4"/>
        <v>#DIV/0!</v>
      </c>
      <c r="AC57" s="15" t="e">
        <f t="shared" si="13"/>
        <v>#DIV/0!</v>
      </c>
      <c r="AD57" s="15" t="e">
        <f t="shared" si="5"/>
        <v>#DIV/0!</v>
      </c>
      <c r="AE57" s="15" t="e">
        <f t="shared" si="6"/>
        <v>#DIV/0!</v>
      </c>
      <c r="AF57" s="15" t="e">
        <f t="shared" si="7"/>
        <v>#DIV/0!</v>
      </c>
      <c r="AG57" s="15" t="e">
        <f t="shared" si="8"/>
        <v>#DIV/0!</v>
      </c>
      <c r="AH57" s="53" t="e">
        <f t="shared" si="9"/>
        <v>#DIV/0!</v>
      </c>
      <c r="AI57" s="102" t="e">
        <f t="shared" si="14"/>
        <v>#DIV/0!</v>
      </c>
      <c r="AJ57" s="15"/>
      <c r="AK57" s="15" t="e">
        <f t="shared" si="21"/>
        <v>#DIV/0!</v>
      </c>
      <c r="AL57" s="15" t="e">
        <f t="shared" si="22"/>
        <v>#DIV/0!</v>
      </c>
      <c r="AM57" s="15">
        <f t="shared" si="17"/>
        <v>0</v>
      </c>
      <c r="AN57" s="15" t="e">
        <f t="shared" si="18"/>
        <v>#DIV/0!</v>
      </c>
    </row>
    <row r="58" spans="18:40" ht="13.8" x14ac:dyDescent="0.3">
      <c r="R58" s="51">
        <v>23</v>
      </c>
      <c r="S58" s="38">
        <f t="shared" si="10"/>
        <v>46</v>
      </c>
      <c r="T58" s="52">
        <f t="shared" si="0"/>
        <v>0.8028514559173916</v>
      </c>
      <c r="U58" s="52">
        <f t="shared" si="19"/>
        <v>0.39073112848927377</v>
      </c>
      <c r="V58" s="52">
        <f t="shared" si="20"/>
        <v>0.71933980033865108</v>
      </c>
      <c r="W58" s="52">
        <f t="shared" si="11"/>
        <v>0.92050485345244037</v>
      </c>
      <c r="X58" s="52">
        <f t="shared" si="12"/>
        <v>0</v>
      </c>
      <c r="Y58" s="15">
        <f t="shared" si="1"/>
        <v>0</v>
      </c>
      <c r="Z58" s="52">
        <f t="shared" si="2"/>
        <v>0</v>
      </c>
      <c r="AA58" s="52">
        <f t="shared" si="3"/>
        <v>0</v>
      </c>
      <c r="AB58" s="15" t="e">
        <f t="shared" si="4"/>
        <v>#DIV/0!</v>
      </c>
      <c r="AC58" s="15" t="e">
        <f t="shared" si="13"/>
        <v>#DIV/0!</v>
      </c>
      <c r="AD58" s="15" t="e">
        <f t="shared" si="5"/>
        <v>#DIV/0!</v>
      </c>
      <c r="AE58" s="15" t="e">
        <f t="shared" si="6"/>
        <v>#DIV/0!</v>
      </c>
      <c r="AF58" s="15" t="e">
        <f t="shared" si="7"/>
        <v>#DIV/0!</v>
      </c>
      <c r="AG58" s="15" t="e">
        <f t="shared" si="8"/>
        <v>#DIV/0!</v>
      </c>
      <c r="AH58" s="53" t="e">
        <f t="shared" si="9"/>
        <v>#DIV/0!</v>
      </c>
      <c r="AI58" s="102" t="e">
        <f t="shared" si="14"/>
        <v>#DIV/0!</v>
      </c>
      <c r="AJ58" s="15"/>
      <c r="AK58" s="15" t="e">
        <f t="shared" si="21"/>
        <v>#DIV/0!</v>
      </c>
      <c r="AL58" s="15" t="e">
        <f t="shared" si="22"/>
        <v>#DIV/0!</v>
      </c>
      <c r="AM58" s="15">
        <f t="shared" si="17"/>
        <v>0</v>
      </c>
      <c r="AN58" s="15" t="e">
        <f t="shared" si="18"/>
        <v>#DIV/0!</v>
      </c>
    </row>
    <row r="59" spans="18:40" ht="13.8" x14ac:dyDescent="0.3">
      <c r="R59" s="51">
        <v>23.5</v>
      </c>
      <c r="S59" s="38">
        <f t="shared" si="10"/>
        <v>47</v>
      </c>
      <c r="T59" s="52">
        <f t="shared" si="0"/>
        <v>0.82030474843733492</v>
      </c>
      <c r="U59" s="52">
        <f t="shared" si="19"/>
        <v>0.3987490689252462</v>
      </c>
      <c r="V59" s="52">
        <f t="shared" si="20"/>
        <v>0.73135370161917046</v>
      </c>
      <c r="W59" s="52">
        <f t="shared" si="11"/>
        <v>0.91706007438512405</v>
      </c>
      <c r="X59" s="52">
        <f t="shared" si="12"/>
        <v>0</v>
      </c>
      <c r="Y59" s="15">
        <f t="shared" si="1"/>
        <v>0</v>
      </c>
      <c r="Z59" s="52">
        <f t="shared" si="2"/>
        <v>0</v>
      </c>
      <c r="AA59" s="52">
        <f t="shared" si="3"/>
        <v>0</v>
      </c>
      <c r="AB59" s="15" t="e">
        <f t="shared" si="4"/>
        <v>#DIV/0!</v>
      </c>
      <c r="AC59" s="15" t="e">
        <f t="shared" si="13"/>
        <v>#DIV/0!</v>
      </c>
      <c r="AD59" s="15" t="e">
        <f t="shared" si="5"/>
        <v>#DIV/0!</v>
      </c>
      <c r="AE59" s="15" t="e">
        <f t="shared" si="6"/>
        <v>#DIV/0!</v>
      </c>
      <c r="AF59" s="15" t="e">
        <f t="shared" si="7"/>
        <v>#DIV/0!</v>
      </c>
      <c r="AG59" s="15" t="e">
        <f t="shared" si="8"/>
        <v>#DIV/0!</v>
      </c>
      <c r="AH59" s="53" t="e">
        <f t="shared" si="9"/>
        <v>#DIV/0!</v>
      </c>
      <c r="AI59" s="102" t="e">
        <f t="shared" si="14"/>
        <v>#DIV/0!</v>
      </c>
      <c r="AJ59" s="15"/>
      <c r="AK59" s="15" t="e">
        <f t="shared" si="21"/>
        <v>#DIV/0!</v>
      </c>
      <c r="AL59" s="15" t="e">
        <f t="shared" si="22"/>
        <v>#DIV/0!</v>
      </c>
      <c r="AM59" s="15">
        <f t="shared" si="17"/>
        <v>0</v>
      </c>
      <c r="AN59" s="15" t="e">
        <f t="shared" si="18"/>
        <v>#DIV/0!</v>
      </c>
    </row>
    <row r="60" spans="18:40" ht="13.8" x14ac:dyDescent="0.3">
      <c r="R60" s="51">
        <v>24</v>
      </c>
      <c r="S60" s="38">
        <f t="shared" si="10"/>
        <v>48</v>
      </c>
      <c r="T60" s="52">
        <f t="shared" si="0"/>
        <v>0.83775804095727824</v>
      </c>
      <c r="U60" s="52">
        <f t="shared" si="19"/>
        <v>0.40673664307580021</v>
      </c>
      <c r="V60" s="52">
        <f t="shared" si="20"/>
        <v>0.74314482547739424</v>
      </c>
      <c r="W60" s="52">
        <f t="shared" si="11"/>
        <v>0.91354545764260087</v>
      </c>
      <c r="X60" s="52">
        <f t="shared" si="12"/>
        <v>0</v>
      </c>
      <c r="Y60" s="15">
        <f t="shared" si="1"/>
        <v>0</v>
      </c>
      <c r="Z60" s="52">
        <f t="shared" si="2"/>
        <v>0</v>
      </c>
      <c r="AA60" s="52">
        <f t="shared" si="3"/>
        <v>0</v>
      </c>
      <c r="AB60" s="15" t="e">
        <f t="shared" si="4"/>
        <v>#DIV/0!</v>
      </c>
      <c r="AC60" s="15" t="e">
        <f t="shared" si="13"/>
        <v>#DIV/0!</v>
      </c>
      <c r="AD60" s="15" t="e">
        <f t="shared" si="5"/>
        <v>#DIV/0!</v>
      </c>
      <c r="AE60" s="15" t="e">
        <f t="shared" si="6"/>
        <v>#DIV/0!</v>
      </c>
      <c r="AF60" s="15" t="e">
        <f t="shared" si="7"/>
        <v>#DIV/0!</v>
      </c>
      <c r="AG60" s="15" t="e">
        <f t="shared" si="8"/>
        <v>#DIV/0!</v>
      </c>
      <c r="AH60" s="53" t="e">
        <f t="shared" si="9"/>
        <v>#DIV/0!</v>
      </c>
      <c r="AI60" s="102" t="e">
        <f t="shared" si="14"/>
        <v>#DIV/0!</v>
      </c>
      <c r="AJ60" s="15"/>
      <c r="AK60" s="15" t="e">
        <f t="shared" si="21"/>
        <v>#DIV/0!</v>
      </c>
      <c r="AL60" s="15" t="e">
        <f t="shared" si="22"/>
        <v>#DIV/0!</v>
      </c>
      <c r="AM60" s="15">
        <f t="shared" si="17"/>
        <v>0</v>
      </c>
      <c r="AN60" s="15" t="e">
        <f t="shared" si="18"/>
        <v>#DIV/0!</v>
      </c>
    </row>
    <row r="61" spans="18:40" ht="13.8" x14ac:dyDescent="0.3">
      <c r="R61" s="51">
        <v>24.5</v>
      </c>
      <c r="S61" s="38">
        <f t="shared" si="10"/>
        <v>49</v>
      </c>
      <c r="T61" s="52">
        <f t="shared" si="0"/>
        <v>0.85521133347722145</v>
      </c>
      <c r="U61" s="52">
        <f t="shared" si="19"/>
        <v>0.41469324265623903</v>
      </c>
      <c r="V61" s="52">
        <f t="shared" si="20"/>
        <v>0.75470958022277201</v>
      </c>
      <c r="W61" s="52">
        <f t="shared" si="11"/>
        <v>0.90996127087654322</v>
      </c>
      <c r="X61" s="52">
        <f t="shared" si="12"/>
        <v>0</v>
      </c>
      <c r="Y61" s="15">
        <f t="shared" si="1"/>
        <v>0</v>
      </c>
      <c r="Z61" s="52">
        <f t="shared" si="2"/>
        <v>0</v>
      </c>
      <c r="AA61" s="52">
        <f t="shared" si="3"/>
        <v>0</v>
      </c>
      <c r="AB61" s="15" t="e">
        <f t="shared" si="4"/>
        <v>#DIV/0!</v>
      </c>
      <c r="AC61" s="15" t="e">
        <f t="shared" si="13"/>
        <v>#DIV/0!</v>
      </c>
      <c r="AD61" s="15" t="e">
        <f t="shared" si="5"/>
        <v>#DIV/0!</v>
      </c>
      <c r="AE61" s="15" t="e">
        <f t="shared" si="6"/>
        <v>#DIV/0!</v>
      </c>
      <c r="AF61" s="15" t="e">
        <f t="shared" si="7"/>
        <v>#DIV/0!</v>
      </c>
      <c r="AG61" s="15" t="e">
        <f t="shared" si="8"/>
        <v>#DIV/0!</v>
      </c>
      <c r="AH61" s="53" t="e">
        <f t="shared" si="9"/>
        <v>#DIV/0!</v>
      </c>
      <c r="AI61" s="102" t="e">
        <f t="shared" si="14"/>
        <v>#DIV/0!</v>
      </c>
      <c r="AJ61" s="15"/>
      <c r="AK61" s="15" t="e">
        <f t="shared" si="21"/>
        <v>#DIV/0!</v>
      </c>
      <c r="AL61" s="15" t="e">
        <f t="shared" si="22"/>
        <v>#DIV/0!</v>
      </c>
      <c r="AM61" s="15">
        <f t="shared" si="17"/>
        <v>0</v>
      </c>
      <c r="AN61" s="15" t="e">
        <f t="shared" si="18"/>
        <v>#DIV/0!</v>
      </c>
    </row>
    <row r="62" spans="18:40" ht="13.8" x14ac:dyDescent="0.3">
      <c r="R62" s="51">
        <v>25</v>
      </c>
      <c r="S62" s="38">
        <f t="shared" si="10"/>
        <v>50</v>
      </c>
      <c r="T62" s="52">
        <f t="shared" si="0"/>
        <v>0.87266462599716477</v>
      </c>
      <c r="U62" s="52">
        <f t="shared" si="19"/>
        <v>0.42261826174069944</v>
      </c>
      <c r="V62" s="52">
        <f t="shared" si="20"/>
        <v>0.76604444311897801</v>
      </c>
      <c r="W62" s="52">
        <f t="shared" si="11"/>
        <v>0.90630778703664994</v>
      </c>
      <c r="X62" s="52">
        <f t="shared" si="12"/>
        <v>0</v>
      </c>
      <c r="Y62" s="15">
        <f t="shared" si="1"/>
        <v>0</v>
      </c>
      <c r="Z62" s="52">
        <f t="shared" si="2"/>
        <v>0</v>
      </c>
      <c r="AA62" s="52">
        <f t="shared" si="3"/>
        <v>0</v>
      </c>
      <c r="AB62" s="15" t="e">
        <f t="shared" si="4"/>
        <v>#DIV/0!</v>
      </c>
      <c r="AC62" s="15" t="e">
        <f t="shared" si="13"/>
        <v>#DIV/0!</v>
      </c>
      <c r="AD62" s="15" t="e">
        <f t="shared" si="5"/>
        <v>#DIV/0!</v>
      </c>
      <c r="AE62" s="15" t="e">
        <f t="shared" si="6"/>
        <v>#DIV/0!</v>
      </c>
      <c r="AF62" s="15" t="e">
        <f t="shared" si="7"/>
        <v>#DIV/0!</v>
      </c>
      <c r="AG62" s="15" t="e">
        <f t="shared" si="8"/>
        <v>#DIV/0!</v>
      </c>
      <c r="AH62" s="53" t="e">
        <f t="shared" si="9"/>
        <v>#DIV/0!</v>
      </c>
      <c r="AI62" s="102" t="e">
        <f t="shared" si="14"/>
        <v>#DIV/0!</v>
      </c>
      <c r="AJ62" s="15"/>
      <c r="AK62" s="15" t="e">
        <f t="shared" si="21"/>
        <v>#DIV/0!</v>
      </c>
      <c r="AL62" s="15" t="e">
        <f t="shared" si="22"/>
        <v>#DIV/0!</v>
      </c>
      <c r="AM62" s="15">
        <f t="shared" si="17"/>
        <v>0</v>
      </c>
      <c r="AN62" s="15" t="e">
        <f t="shared" si="18"/>
        <v>#DIV/0!</v>
      </c>
    </row>
    <row r="63" spans="18:40" ht="13.8" x14ac:dyDescent="0.3">
      <c r="R63" s="51">
        <v>25.5</v>
      </c>
      <c r="S63" s="38">
        <f t="shared" si="10"/>
        <v>51</v>
      </c>
      <c r="T63" s="52">
        <f t="shared" si="0"/>
        <v>0.89011791851710809</v>
      </c>
      <c r="U63" s="52">
        <f t="shared" si="19"/>
        <v>0.43051109680829514</v>
      </c>
      <c r="V63" s="52">
        <f t="shared" si="20"/>
        <v>0.7771459614569709</v>
      </c>
      <c r="W63" s="52">
        <f t="shared" si="11"/>
        <v>0.90258528434986063</v>
      </c>
      <c r="X63" s="52">
        <f t="shared" si="12"/>
        <v>0</v>
      </c>
      <c r="Y63" s="15">
        <f t="shared" si="1"/>
        <v>0</v>
      </c>
      <c r="Z63" s="52">
        <f t="shared" si="2"/>
        <v>0</v>
      </c>
      <c r="AA63" s="52">
        <f t="shared" si="3"/>
        <v>0</v>
      </c>
      <c r="AB63" s="15" t="e">
        <f t="shared" si="4"/>
        <v>#DIV/0!</v>
      </c>
      <c r="AC63" s="15" t="e">
        <f t="shared" si="13"/>
        <v>#DIV/0!</v>
      </c>
      <c r="AD63" s="15" t="e">
        <f t="shared" si="5"/>
        <v>#DIV/0!</v>
      </c>
      <c r="AE63" s="15" t="e">
        <f t="shared" si="6"/>
        <v>#DIV/0!</v>
      </c>
      <c r="AF63" s="15" t="e">
        <f t="shared" si="7"/>
        <v>#DIV/0!</v>
      </c>
      <c r="AG63" s="15" t="e">
        <f t="shared" si="8"/>
        <v>#DIV/0!</v>
      </c>
      <c r="AH63" s="53" t="e">
        <f t="shared" si="9"/>
        <v>#DIV/0!</v>
      </c>
      <c r="AI63" s="102" t="e">
        <f t="shared" si="14"/>
        <v>#DIV/0!</v>
      </c>
      <c r="AJ63" s="15"/>
      <c r="AK63" s="15" t="e">
        <f t="shared" si="21"/>
        <v>#DIV/0!</v>
      </c>
      <c r="AL63" s="15" t="e">
        <f t="shared" si="22"/>
        <v>#DIV/0!</v>
      </c>
      <c r="AM63" s="15">
        <f t="shared" si="17"/>
        <v>0</v>
      </c>
      <c r="AN63" s="15" t="e">
        <f t="shared" si="18"/>
        <v>#DIV/0!</v>
      </c>
    </row>
    <row r="64" spans="18:40" ht="13.8" x14ac:dyDescent="0.3">
      <c r="R64" s="51">
        <v>26</v>
      </c>
      <c r="S64" s="38">
        <f t="shared" si="10"/>
        <v>52</v>
      </c>
      <c r="T64" s="52">
        <f t="shared" si="0"/>
        <v>0.90757121103705141</v>
      </c>
      <c r="U64" s="52">
        <f t="shared" si="19"/>
        <v>0.4383711467890774</v>
      </c>
      <c r="V64" s="52">
        <f t="shared" si="20"/>
        <v>0.78801075360672201</v>
      </c>
      <c r="W64" s="52">
        <f t="shared" si="11"/>
        <v>0.89879404629916704</v>
      </c>
      <c r="X64" s="52">
        <f t="shared" si="12"/>
        <v>0</v>
      </c>
      <c r="Y64" s="15">
        <f t="shared" si="1"/>
        <v>0</v>
      </c>
      <c r="Z64" s="52">
        <f t="shared" si="2"/>
        <v>0</v>
      </c>
      <c r="AA64" s="52">
        <f t="shared" si="3"/>
        <v>0</v>
      </c>
      <c r="AB64" s="15" t="e">
        <f t="shared" si="4"/>
        <v>#DIV/0!</v>
      </c>
      <c r="AC64" s="15" t="e">
        <f t="shared" si="13"/>
        <v>#DIV/0!</v>
      </c>
      <c r="AD64" s="15" t="e">
        <f t="shared" si="5"/>
        <v>#DIV/0!</v>
      </c>
      <c r="AE64" s="15" t="e">
        <f t="shared" si="6"/>
        <v>#DIV/0!</v>
      </c>
      <c r="AF64" s="15" t="e">
        <f t="shared" si="7"/>
        <v>#DIV/0!</v>
      </c>
      <c r="AG64" s="15" t="e">
        <f t="shared" si="8"/>
        <v>#DIV/0!</v>
      </c>
      <c r="AH64" s="53" t="e">
        <f t="shared" si="9"/>
        <v>#DIV/0!</v>
      </c>
      <c r="AI64" s="102" t="e">
        <f t="shared" si="14"/>
        <v>#DIV/0!</v>
      </c>
      <c r="AJ64" s="15"/>
      <c r="AK64" s="15" t="e">
        <f t="shared" si="21"/>
        <v>#DIV/0!</v>
      </c>
      <c r="AL64" s="15" t="e">
        <f t="shared" si="22"/>
        <v>#DIV/0!</v>
      </c>
      <c r="AM64" s="15">
        <f t="shared" si="17"/>
        <v>0</v>
      </c>
      <c r="AN64" s="15" t="e">
        <f t="shared" si="18"/>
        <v>#DIV/0!</v>
      </c>
    </row>
    <row r="65" spans="18:40" ht="13.8" x14ac:dyDescent="0.3">
      <c r="R65" s="51">
        <v>26.5</v>
      </c>
      <c r="S65" s="38">
        <f t="shared" si="10"/>
        <v>53</v>
      </c>
      <c r="T65" s="52">
        <f t="shared" si="0"/>
        <v>0.92502450355699462</v>
      </c>
      <c r="U65" s="52">
        <f t="shared" si="19"/>
        <v>0.44619781310980877</v>
      </c>
      <c r="V65" s="52">
        <f t="shared" si="20"/>
        <v>0.79863551004729283</v>
      </c>
      <c r="W65" s="52">
        <f t="shared" si="11"/>
        <v>0.89493436160202511</v>
      </c>
      <c r="X65" s="52">
        <f t="shared" si="12"/>
        <v>0</v>
      </c>
      <c r="Y65" s="15">
        <f t="shared" si="1"/>
        <v>0</v>
      </c>
      <c r="Z65" s="52">
        <f t="shared" si="2"/>
        <v>0</v>
      </c>
      <c r="AA65" s="52">
        <f t="shared" si="3"/>
        <v>0</v>
      </c>
      <c r="AB65" s="15" t="e">
        <f t="shared" si="4"/>
        <v>#DIV/0!</v>
      </c>
      <c r="AC65" s="15" t="e">
        <f t="shared" si="13"/>
        <v>#DIV/0!</v>
      </c>
      <c r="AD65" s="15" t="e">
        <f t="shared" si="5"/>
        <v>#DIV/0!</v>
      </c>
      <c r="AE65" s="15" t="e">
        <f t="shared" si="6"/>
        <v>#DIV/0!</v>
      </c>
      <c r="AF65" s="15" t="e">
        <f t="shared" si="7"/>
        <v>#DIV/0!</v>
      </c>
      <c r="AG65" s="15" t="e">
        <f t="shared" si="8"/>
        <v>#DIV/0!</v>
      </c>
      <c r="AH65" s="53" t="e">
        <f t="shared" si="9"/>
        <v>#DIV/0!</v>
      </c>
      <c r="AI65" s="102" t="e">
        <f t="shared" si="14"/>
        <v>#DIV/0!</v>
      </c>
      <c r="AJ65" s="15"/>
      <c r="AK65" s="15" t="e">
        <f t="shared" si="21"/>
        <v>#DIV/0!</v>
      </c>
      <c r="AL65" s="15" t="e">
        <f t="shared" si="22"/>
        <v>#DIV/0!</v>
      </c>
      <c r="AM65" s="15">
        <f t="shared" si="17"/>
        <v>0</v>
      </c>
      <c r="AN65" s="15" t="e">
        <f t="shared" si="18"/>
        <v>#DIV/0!</v>
      </c>
    </row>
    <row r="66" spans="18:40" ht="13.8" x14ac:dyDescent="0.3">
      <c r="R66" s="51">
        <v>27</v>
      </c>
      <c r="S66" s="38">
        <f t="shared" si="10"/>
        <v>54</v>
      </c>
      <c r="T66" s="52">
        <f t="shared" si="0"/>
        <v>0.94247779607693793</v>
      </c>
      <c r="U66" s="52">
        <f t="shared" si="19"/>
        <v>0.45399049973954675</v>
      </c>
      <c r="V66" s="52">
        <f t="shared" si="20"/>
        <v>0.80901699437494745</v>
      </c>
      <c r="W66" s="52">
        <f t="shared" si="11"/>
        <v>0.8910065241883679</v>
      </c>
      <c r="X66" s="52">
        <f t="shared" si="12"/>
        <v>0</v>
      </c>
      <c r="Y66" s="15">
        <f t="shared" si="1"/>
        <v>0</v>
      </c>
      <c r="Z66" s="52">
        <f t="shared" si="2"/>
        <v>0</v>
      </c>
      <c r="AA66" s="52">
        <f t="shared" si="3"/>
        <v>0</v>
      </c>
      <c r="AB66" s="15" t="e">
        <f t="shared" si="4"/>
        <v>#DIV/0!</v>
      </c>
      <c r="AC66" s="15" t="e">
        <f t="shared" si="13"/>
        <v>#DIV/0!</v>
      </c>
      <c r="AD66" s="15" t="e">
        <f t="shared" si="5"/>
        <v>#DIV/0!</v>
      </c>
      <c r="AE66" s="15" t="e">
        <f t="shared" si="6"/>
        <v>#DIV/0!</v>
      </c>
      <c r="AF66" s="15" t="e">
        <f t="shared" si="7"/>
        <v>#DIV/0!</v>
      </c>
      <c r="AG66" s="15" t="e">
        <f t="shared" si="8"/>
        <v>#DIV/0!</v>
      </c>
      <c r="AH66" s="53" t="e">
        <f t="shared" si="9"/>
        <v>#DIV/0!</v>
      </c>
      <c r="AI66" s="102" t="e">
        <f t="shared" si="14"/>
        <v>#DIV/0!</v>
      </c>
      <c r="AJ66" s="15"/>
      <c r="AK66" s="15" t="e">
        <f t="shared" si="21"/>
        <v>#DIV/0!</v>
      </c>
      <c r="AL66" s="15" t="e">
        <f t="shared" si="22"/>
        <v>#DIV/0!</v>
      </c>
      <c r="AM66" s="15">
        <f t="shared" si="17"/>
        <v>0</v>
      </c>
      <c r="AN66" s="15" t="e">
        <f t="shared" si="18"/>
        <v>#DIV/0!</v>
      </c>
    </row>
    <row r="67" spans="18:40" ht="13.8" x14ac:dyDescent="0.3">
      <c r="R67" s="51">
        <v>27.5</v>
      </c>
      <c r="S67" s="38">
        <f t="shared" si="10"/>
        <v>55</v>
      </c>
      <c r="T67" s="52">
        <f t="shared" si="0"/>
        <v>0.95993108859688125</v>
      </c>
      <c r="U67" s="52">
        <f t="shared" si="19"/>
        <v>0.46174861323503391</v>
      </c>
      <c r="V67" s="52">
        <f t="shared" si="20"/>
        <v>0.8191520442889918</v>
      </c>
      <c r="W67" s="52">
        <f t="shared" si="11"/>
        <v>0.88701083317822171</v>
      </c>
      <c r="X67" s="52">
        <f t="shared" si="12"/>
        <v>0</v>
      </c>
      <c r="Y67" s="15">
        <f t="shared" si="1"/>
        <v>0</v>
      </c>
      <c r="Z67" s="52">
        <f t="shared" si="2"/>
        <v>0</v>
      </c>
      <c r="AA67" s="52">
        <f t="shared" si="3"/>
        <v>0</v>
      </c>
      <c r="AB67" s="15" t="e">
        <f t="shared" si="4"/>
        <v>#DIV/0!</v>
      </c>
      <c r="AC67" s="15" t="e">
        <f t="shared" si="13"/>
        <v>#DIV/0!</v>
      </c>
      <c r="AD67" s="15" t="e">
        <f t="shared" si="5"/>
        <v>#DIV/0!</v>
      </c>
      <c r="AE67" s="15" t="e">
        <f t="shared" si="6"/>
        <v>#DIV/0!</v>
      </c>
      <c r="AF67" s="15" t="e">
        <f t="shared" si="7"/>
        <v>#DIV/0!</v>
      </c>
      <c r="AG67" s="15" t="e">
        <f t="shared" si="8"/>
        <v>#DIV/0!</v>
      </c>
      <c r="AH67" s="53" t="e">
        <f t="shared" si="9"/>
        <v>#DIV/0!</v>
      </c>
      <c r="AI67" s="102" t="e">
        <f t="shared" si="14"/>
        <v>#DIV/0!</v>
      </c>
      <c r="AJ67" s="15"/>
      <c r="AK67" s="15" t="e">
        <f t="shared" si="21"/>
        <v>#DIV/0!</v>
      </c>
      <c r="AL67" s="15" t="e">
        <f t="shared" si="22"/>
        <v>#DIV/0!</v>
      </c>
      <c r="AM67" s="15">
        <f t="shared" si="17"/>
        <v>0</v>
      </c>
      <c r="AN67" s="15" t="e">
        <f t="shared" si="18"/>
        <v>#DIV/0!</v>
      </c>
    </row>
    <row r="68" spans="18:40" ht="13.8" x14ac:dyDescent="0.3">
      <c r="R68" s="51">
        <v>28</v>
      </c>
      <c r="S68" s="38">
        <f t="shared" si="10"/>
        <v>56</v>
      </c>
      <c r="T68" s="52">
        <f t="shared" si="0"/>
        <v>0.97738438111682457</v>
      </c>
      <c r="U68" s="52">
        <f t="shared" si="19"/>
        <v>0.46947156278589081</v>
      </c>
      <c r="V68" s="52">
        <f t="shared" si="20"/>
        <v>0.82903757255504174</v>
      </c>
      <c r="W68" s="52">
        <f t="shared" si="11"/>
        <v>0.88294759285892699</v>
      </c>
      <c r="X68" s="52">
        <f t="shared" si="12"/>
        <v>0</v>
      </c>
      <c r="Y68" s="15">
        <f t="shared" si="1"/>
        <v>0</v>
      </c>
      <c r="Z68" s="52">
        <f t="shared" si="2"/>
        <v>0</v>
      </c>
      <c r="AA68" s="52">
        <f t="shared" si="3"/>
        <v>0</v>
      </c>
      <c r="AB68" s="15" t="e">
        <f t="shared" si="4"/>
        <v>#DIV/0!</v>
      </c>
      <c r="AC68" s="15" t="e">
        <f t="shared" si="13"/>
        <v>#DIV/0!</v>
      </c>
      <c r="AD68" s="15" t="e">
        <f t="shared" si="5"/>
        <v>#DIV/0!</v>
      </c>
      <c r="AE68" s="15" t="e">
        <f t="shared" si="6"/>
        <v>#DIV/0!</v>
      </c>
      <c r="AF68" s="15" t="e">
        <f t="shared" si="7"/>
        <v>#DIV/0!</v>
      </c>
      <c r="AG68" s="15" t="e">
        <f t="shared" si="8"/>
        <v>#DIV/0!</v>
      </c>
      <c r="AH68" s="53" t="e">
        <f t="shared" si="9"/>
        <v>#DIV/0!</v>
      </c>
      <c r="AI68" s="102" t="e">
        <f t="shared" si="14"/>
        <v>#DIV/0!</v>
      </c>
      <c r="AJ68" s="15"/>
      <c r="AK68" s="15" t="e">
        <f t="shared" si="21"/>
        <v>#DIV/0!</v>
      </c>
      <c r="AL68" s="15" t="e">
        <f t="shared" si="22"/>
        <v>#DIV/0!</v>
      </c>
      <c r="AM68" s="15">
        <f t="shared" si="17"/>
        <v>0</v>
      </c>
      <c r="AN68" s="15" t="e">
        <f t="shared" si="18"/>
        <v>#DIV/0!</v>
      </c>
    </row>
    <row r="69" spans="18:40" ht="13.8" x14ac:dyDescent="0.3">
      <c r="R69" s="51">
        <v>28.5</v>
      </c>
      <c r="S69" s="38">
        <f t="shared" si="10"/>
        <v>57</v>
      </c>
      <c r="T69" s="52">
        <f t="shared" si="0"/>
        <v>0.99483767363676789</v>
      </c>
      <c r="U69" s="52">
        <f t="shared" si="19"/>
        <v>0.47715876025960841</v>
      </c>
      <c r="V69" s="52">
        <f t="shared" si="20"/>
        <v>0.83867056794542405</v>
      </c>
      <c r="W69" s="52">
        <f t="shared" si="11"/>
        <v>0.87881711266196538</v>
      </c>
      <c r="X69" s="52">
        <f t="shared" si="12"/>
        <v>0</v>
      </c>
      <c r="Y69" s="15">
        <f t="shared" si="1"/>
        <v>0</v>
      </c>
      <c r="Z69" s="52">
        <f t="shared" si="2"/>
        <v>0</v>
      </c>
      <c r="AA69" s="52">
        <f t="shared" si="3"/>
        <v>0</v>
      </c>
      <c r="AB69" s="15" t="e">
        <f t="shared" si="4"/>
        <v>#DIV/0!</v>
      </c>
      <c r="AC69" s="15" t="e">
        <f t="shared" si="13"/>
        <v>#DIV/0!</v>
      </c>
      <c r="AD69" s="15" t="e">
        <f t="shared" si="5"/>
        <v>#DIV/0!</v>
      </c>
      <c r="AE69" s="15" t="e">
        <f t="shared" si="6"/>
        <v>#DIV/0!</v>
      </c>
      <c r="AF69" s="15" t="e">
        <f t="shared" si="7"/>
        <v>#DIV/0!</v>
      </c>
      <c r="AG69" s="15" t="e">
        <f t="shared" si="8"/>
        <v>#DIV/0!</v>
      </c>
      <c r="AH69" s="53" t="e">
        <f t="shared" si="9"/>
        <v>#DIV/0!</v>
      </c>
      <c r="AI69" s="102" t="e">
        <f t="shared" si="14"/>
        <v>#DIV/0!</v>
      </c>
      <c r="AJ69" s="15"/>
      <c r="AK69" s="15" t="e">
        <f t="shared" si="21"/>
        <v>#DIV/0!</v>
      </c>
      <c r="AL69" s="15" t="e">
        <f t="shared" si="22"/>
        <v>#DIV/0!</v>
      </c>
      <c r="AM69" s="15">
        <f t="shared" si="17"/>
        <v>0</v>
      </c>
      <c r="AN69" s="15" t="e">
        <f t="shared" si="18"/>
        <v>#DIV/0!</v>
      </c>
    </row>
    <row r="70" spans="18:40" ht="13.8" x14ac:dyDescent="0.3">
      <c r="R70" s="51">
        <v>29</v>
      </c>
      <c r="S70" s="38">
        <f t="shared" si="10"/>
        <v>58</v>
      </c>
      <c r="T70" s="52">
        <f t="shared" si="0"/>
        <v>1.0122909661567112</v>
      </c>
      <c r="U70" s="52">
        <f t="shared" si="19"/>
        <v>0.48480962024633706</v>
      </c>
      <c r="V70" s="52">
        <f t="shared" si="20"/>
        <v>0.84804809615642596</v>
      </c>
      <c r="W70" s="52">
        <f t="shared" si="11"/>
        <v>0.87461970713939574</v>
      </c>
      <c r="X70" s="52">
        <f t="shared" si="12"/>
        <v>0</v>
      </c>
      <c r="Y70" s="15">
        <f t="shared" si="1"/>
        <v>0</v>
      </c>
      <c r="Z70" s="52">
        <f t="shared" si="2"/>
        <v>0</v>
      </c>
      <c r="AA70" s="52">
        <f t="shared" si="3"/>
        <v>0</v>
      </c>
      <c r="AB70" s="15" t="e">
        <f t="shared" si="4"/>
        <v>#DIV/0!</v>
      </c>
      <c r="AC70" s="15" t="e">
        <f t="shared" si="13"/>
        <v>#DIV/0!</v>
      </c>
      <c r="AD70" s="15" t="e">
        <f t="shared" si="5"/>
        <v>#DIV/0!</v>
      </c>
      <c r="AE70" s="15" t="e">
        <f t="shared" si="6"/>
        <v>#DIV/0!</v>
      </c>
      <c r="AF70" s="15" t="e">
        <f t="shared" si="7"/>
        <v>#DIV/0!</v>
      </c>
      <c r="AG70" s="15" t="e">
        <f t="shared" si="8"/>
        <v>#DIV/0!</v>
      </c>
      <c r="AH70" s="53" t="e">
        <f t="shared" si="9"/>
        <v>#DIV/0!</v>
      </c>
      <c r="AI70" s="102" t="e">
        <f t="shared" si="14"/>
        <v>#DIV/0!</v>
      </c>
      <c r="AJ70" s="15"/>
      <c r="AK70" s="15" t="e">
        <f t="shared" si="21"/>
        <v>#DIV/0!</v>
      </c>
      <c r="AL70" s="15" t="e">
        <f t="shared" si="22"/>
        <v>#DIV/0!</v>
      </c>
      <c r="AM70" s="15">
        <f t="shared" si="17"/>
        <v>0</v>
      </c>
      <c r="AN70" s="15" t="e">
        <f t="shared" si="18"/>
        <v>#DIV/0!</v>
      </c>
    </row>
    <row r="71" spans="18:40" ht="13.8" x14ac:dyDescent="0.3">
      <c r="R71" s="51">
        <v>29.5</v>
      </c>
      <c r="S71" s="38">
        <f t="shared" si="10"/>
        <v>59</v>
      </c>
      <c r="T71" s="52">
        <f t="shared" si="0"/>
        <v>1.0297442586766545</v>
      </c>
      <c r="U71" s="52">
        <f t="shared" si="19"/>
        <v>0.49242356010346716</v>
      </c>
      <c r="V71" s="52">
        <f t="shared" si="20"/>
        <v>0.85716730070211233</v>
      </c>
      <c r="W71" s="52">
        <f t="shared" si="11"/>
        <v>0.8703556959398997</v>
      </c>
      <c r="X71" s="52">
        <f t="shared" si="12"/>
        <v>0</v>
      </c>
      <c r="Y71" s="15">
        <f t="shared" si="1"/>
        <v>0</v>
      </c>
      <c r="Z71" s="52">
        <f t="shared" si="2"/>
        <v>0</v>
      </c>
      <c r="AA71" s="52">
        <f t="shared" si="3"/>
        <v>0</v>
      </c>
      <c r="AB71" s="15" t="e">
        <f t="shared" si="4"/>
        <v>#DIV/0!</v>
      </c>
      <c r="AC71" s="15" t="e">
        <f t="shared" si="13"/>
        <v>#DIV/0!</v>
      </c>
      <c r="AD71" s="15" t="e">
        <f t="shared" si="5"/>
        <v>#DIV/0!</v>
      </c>
      <c r="AE71" s="15" t="e">
        <f t="shared" si="6"/>
        <v>#DIV/0!</v>
      </c>
      <c r="AF71" s="15" t="e">
        <f t="shared" si="7"/>
        <v>#DIV/0!</v>
      </c>
      <c r="AG71" s="15" t="e">
        <f t="shared" si="8"/>
        <v>#DIV/0!</v>
      </c>
      <c r="AH71" s="53" t="e">
        <f t="shared" si="9"/>
        <v>#DIV/0!</v>
      </c>
      <c r="AI71" s="102" t="e">
        <f t="shared" si="14"/>
        <v>#DIV/0!</v>
      </c>
      <c r="AJ71" s="15"/>
      <c r="AK71" s="15" t="e">
        <f t="shared" si="21"/>
        <v>#DIV/0!</v>
      </c>
      <c r="AL71" s="15" t="e">
        <f t="shared" si="22"/>
        <v>#DIV/0!</v>
      </c>
      <c r="AM71" s="15">
        <f t="shared" si="17"/>
        <v>0</v>
      </c>
      <c r="AN71" s="15" t="e">
        <f t="shared" si="18"/>
        <v>#DIV/0!</v>
      </c>
    </row>
    <row r="72" spans="18:40" ht="13.8" x14ac:dyDescent="0.3">
      <c r="R72" s="51">
        <v>30</v>
      </c>
      <c r="S72" s="38">
        <f t="shared" si="10"/>
        <v>60</v>
      </c>
      <c r="T72" s="52">
        <f t="shared" si="0"/>
        <v>1.0471975511965976</v>
      </c>
      <c r="U72" s="52">
        <f t="shared" si="19"/>
        <v>0.49999999999999994</v>
      </c>
      <c r="V72" s="52">
        <f t="shared" si="20"/>
        <v>0.8660254037844386</v>
      </c>
      <c r="W72" s="52">
        <f t="shared" si="11"/>
        <v>0.86602540378443871</v>
      </c>
      <c r="X72" s="52">
        <f t="shared" si="12"/>
        <v>0</v>
      </c>
      <c r="Y72" s="15">
        <f t="shared" si="1"/>
        <v>0</v>
      </c>
      <c r="Z72" s="52">
        <f t="shared" si="2"/>
        <v>0</v>
      </c>
      <c r="AA72" s="52">
        <f t="shared" si="3"/>
        <v>0</v>
      </c>
      <c r="AB72" s="15" t="e">
        <f t="shared" si="4"/>
        <v>#DIV/0!</v>
      </c>
      <c r="AC72" s="15" t="e">
        <f t="shared" si="13"/>
        <v>#DIV/0!</v>
      </c>
      <c r="AD72" s="15" t="e">
        <f t="shared" si="5"/>
        <v>#DIV/0!</v>
      </c>
      <c r="AE72" s="15" t="e">
        <f t="shared" si="6"/>
        <v>#DIV/0!</v>
      </c>
      <c r="AF72" s="15" t="e">
        <f t="shared" si="7"/>
        <v>#DIV/0!</v>
      </c>
      <c r="AG72" s="15" t="e">
        <f t="shared" si="8"/>
        <v>#DIV/0!</v>
      </c>
      <c r="AH72" s="53" t="e">
        <f t="shared" si="9"/>
        <v>#DIV/0!</v>
      </c>
      <c r="AI72" s="102" t="e">
        <f t="shared" si="14"/>
        <v>#DIV/0!</v>
      </c>
      <c r="AJ72" s="15"/>
      <c r="AK72" s="15" t="e">
        <f t="shared" si="21"/>
        <v>#DIV/0!</v>
      </c>
      <c r="AL72" s="15" t="e">
        <f t="shared" si="22"/>
        <v>#DIV/0!</v>
      </c>
      <c r="AM72" s="15">
        <f t="shared" si="17"/>
        <v>0</v>
      </c>
      <c r="AN72" s="15" t="e">
        <f t="shared" si="18"/>
        <v>#DIV/0!</v>
      </c>
    </row>
    <row r="73" spans="18:40" ht="13.8" x14ac:dyDescent="0.3">
      <c r="R73" s="51">
        <v>30.5</v>
      </c>
      <c r="S73" s="38">
        <f t="shared" si="10"/>
        <v>61</v>
      </c>
      <c r="T73" s="52">
        <f t="shared" si="0"/>
        <v>1.064650843716541</v>
      </c>
      <c r="U73" s="52">
        <f t="shared" si="19"/>
        <v>0.50753836296070409</v>
      </c>
      <c r="V73" s="52">
        <f t="shared" si="20"/>
        <v>0.87461970713939574</v>
      </c>
      <c r="W73" s="52">
        <f t="shared" si="11"/>
        <v>0.86162916044152582</v>
      </c>
      <c r="X73" s="52">
        <f t="shared" si="12"/>
        <v>0</v>
      </c>
      <c r="Y73" s="15">
        <f t="shared" si="1"/>
        <v>0</v>
      </c>
      <c r="Z73" s="52">
        <f t="shared" si="2"/>
        <v>0</v>
      </c>
      <c r="AA73" s="52">
        <f t="shared" si="3"/>
        <v>0</v>
      </c>
      <c r="AB73" s="15" t="e">
        <f t="shared" si="4"/>
        <v>#DIV/0!</v>
      </c>
      <c r="AC73" s="15" t="e">
        <f t="shared" si="13"/>
        <v>#DIV/0!</v>
      </c>
      <c r="AD73" s="15" t="e">
        <f t="shared" si="5"/>
        <v>#DIV/0!</v>
      </c>
      <c r="AE73" s="15" t="e">
        <f t="shared" si="6"/>
        <v>#DIV/0!</v>
      </c>
      <c r="AF73" s="15" t="e">
        <f t="shared" si="7"/>
        <v>#DIV/0!</v>
      </c>
      <c r="AG73" s="15" t="e">
        <f t="shared" si="8"/>
        <v>#DIV/0!</v>
      </c>
      <c r="AH73" s="53" t="e">
        <f t="shared" si="9"/>
        <v>#DIV/0!</v>
      </c>
      <c r="AI73" s="102" t="e">
        <f t="shared" si="14"/>
        <v>#DIV/0!</v>
      </c>
      <c r="AJ73" s="15"/>
      <c r="AK73" s="15" t="e">
        <f t="shared" si="21"/>
        <v>#DIV/0!</v>
      </c>
      <c r="AL73" s="15" t="e">
        <f t="shared" si="22"/>
        <v>#DIV/0!</v>
      </c>
      <c r="AM73" s="15">
        <f t="shared" si="17"/>
        <v>0</v>
      </c>
      <c r="AN73" s="15" t="e">
        <f t="shared" si="18"/>
        <v>#DIV/0!</v>
      </c>
    </row>
    <row r="74" spans="18:40" ht="13.8" x14ac:dyDescent="0.3">
      <c r="R74" s="51">
        <v>31</v>
      </c>
      <c r="S74" s="38">
        <f t="shared" si="10"/>
        <v>62</v>
      </c>
      <c r="T74" s="52">
        <f t="shared" si="0"/>
        <v>1.0821041362364843</v>
      </c>
      <c r="U74" s="52">
        <f t="shared" si="19"/>
        <v>0.51503807491005416</v>
      </c>
      <c r="V74" s="52">
        <f t="shared" si="20"/>
        <v>0.88294759285892688</v>
      </c>
      <c r="W74" s="52">
        <f t="shared" si="11"/>
        <v>0.85716730070211233</v>
      </c>
      <c r="X74" s="52">
        <f t="shared" si="12"/>
        <v>0</v>
      </c>
      <c r="Y74" s="15">
        <f t="shared" si="1"/>
        <v>0</v>
      </c>
      <c r="Z74" s="52">
        <f t="shared" si="2"/>
        <v>0</v>
      </c>
      <c r="AA74" s="52">
        <f t="shared" si="3"/>
        <v>0</v>
      </c>
      <c r="AB74" s="15" t="e">
        <f t="shared" si="4"/>
        <v>#DIV/0!</v>
      </c>
      <c r="AC74" s="15" t="e">
        <f t="shared" si="13"/>
        <v>#DIV/0!</v>
      </c>
      <c r="AD74" s="15" t="e">
        <f t="shared" si="5"/>
        <v>#DIV/0!</v>
      </c>
      <c r="AE74" s="15" t="e">
        <f t="shared" si="6"/>
        <v>#DIV/0!</v>
      </c>
      <c r="AF74" s="15" t="e">
        <f t="shared" si="7"/>
        <v>#DIV/0!</v>
      </c>
      <c r="AG74" s="15" t="e">
        <f t="shared" si="8"/>
        <v>#DIV/0!</v>
      </c>
      <c r="AH74" s="53" t="e">
        <f t="shared" si="9"/>
        <v>#DIV/0!</v>
      </c>
      <c r="AI74" s="102" t="e">
        <f t="shared" si="14"/>
        <v>#DIV/0!</v>
      </c>
      <c r="AJ74" s="15"/>
      <c r="AK74" s="15" t="e">
        <f t="shared" si="21"/>
        <v>#DIV/0!</v>
      </c>
      <c r="AL74" s="15" t="e">
        <f t="shared" si="22"/>
        <v>#DIV/0!</v>
      </c>
      <c r="AM74" s="15">
        <f t="shared" si="17"/>
        <v>0</v>
      </c>
      <c r="AN74" s="15" t="e">
        <f t="shared" si="18"/>
        <v>#DIV/0!</v>
      </c>
    </row>
    <row r="75" spans="18:40" ht="13.8" x14ac:dyDescent="0.3">
      <c r="R75" s="51">
        <v>31.5</v>
      </c>
      <c r="S75" s="38">
        <f t="shared" si="10"/>
        <v>63</v>
      </c>
      <c r="T75" s="52">
        <f t="shared" si="0"/>
        <v>1.0995574287564276</v>
      </c>
      <c r="U75" s="52">
        <f t="shared" si="19"/>
        <v>0.5224985647159488</v>
      </c>
      <c r="V75" s="52">
        <f t="shared" si="20"/>
        <v>0.89100652418836779</v>
      </c>
      <c r="W75" s="52">
        <f t="shared" si="11"/>
        <v>0.85264016435409218</v>
      </c>
      <c r="X75" s="52">
        <f t="shared" si="12"/>
        <v>0</v>
      </c>
      <c r="Y75" s="15">
        <f t="shared" si="1"/>
        <v>0</v>
      </c>
      <c r="Z75" s="52">
        <f t="shared" si="2"/>
        <v>0</v>
      </c>
      <c r="AA75" s="52">
        <f t="shared" si="3"/>
        <v>0</v>
      </c>
      <c r="AB75" s="15" t="e">
        <f t="shared" si="4"/>
        <v>#DIV/0!</v>
      </c>
      <c r="AC75" s="15" t="e">
        <f t="shared" si="13"/>
        <v>#DIV/0!</v>
      </c>
      <c r="AD75" s="15" t="e">
        <f t="shared" si="5"/>
        <v>#DIV/0!</v>
      </c>
      <c r="AE75" s="15" t="e">
        <f t="shared" si="6"/>
        <v>#DIV/0!</v>
      </c>
      <c r="AF75" s="15" t="e">
        <f t="shared" si="7"/>
        <v>#DIV/0!</v>
      </c>
      <c r="AG75" s="15" t="e">
        <f t="shared" si="8"/>
        <v>#DIV/0!</v>
      </c>
      <c r="AH75" s="53" t="e">
        <f t="shared" si="9"/>
        <v>#DIV/0!</v>
      </c>
      <c r="AI75" s="102" t="e">
        <f t="shared" si="14"/>
        <v>#DIV/0!</v>
      </c>
      <c r="AJ75" s="15"/>
      <c r="AK75" s="15" t="e">
        <f t="shared" si="21"/>
        <v>#DIV/0!</v>
      </c>
      <c r="AL75" s="15" t="e">
        <f t="shared" si="22"/>
        <v>#DIV/0!</v>
      </c>
      <c r="AM75" s="15">
        <f t="shared" si="17"/>
        <v>0</v>
      </c>
      <c r="AN75" s="15" t="e">
        <f t="shared" si="18"/>
        <v>#DIV/0!</v>
      </c>
    </row>
    <row r="76" spans="18:40" ht="13.8" x14ac:dyDescent="0.3">
      <c r="R76" s="51">
        <v>32</v>
      </c>
      <c r="S76" s="38">
        <f t="shared" si="10"/>
        <v>64</v>
      </c>
      <c r="T76" s="52">
        <f t="shared" ref="T76:T139" si="23">S76*(PI()/180)</f>
        <v>1.1170107212763709</v>
      </c>
      <c r="U76" s="52">
        <f t="shared" si="19"/>
        <v>0.5299192642332049</v>
      </c>
      <c r="V76" s="52">
        <f t="shared" si="20"/>
        <v>0.89879404629916704</v>
      </c>
      <c r="W76" s="52">
        <f t="shared" si="11"/>
        <v>0.84804809615642596</v>
      </c>
      <c r="X76" s="52">
        <f t="shared" si="12"/>
        <v>0</v>
      </c>
      <c r="Y76" s="15">
        <f t="shared" ref="Y76:Y139" si="24">0.5*$W$4^2*(T76-V76)</f>
        <v>0</v>
      </c>
      <c r="Z76" s="52">
        <f t="shared" ref="Z76:Z139" si="25">$W$4*(1-W76)</f>
        <v>0</v>
      </c>
      <c r="AA76" s="52">
        <f t="shared" ref="AA76:AA139" si="26">$W$4*T76</f>
        <v>0</v>
      </c>
      <c r="AB76" s="15" t="e">
        <f t="shared" ref="AB76:AB139" si="27">Z76/$W$5</f>
        <v>#DIV/0!</v>
      </c>
      <c r="AC76" s="15" t="e">
        <f t="shared" si="13"/>
        <v>#DIV/0!</v>
      </c>
      <c r="AD76" s="15" t="e">
        <f t="shared" ref="AD76:AD139" si="28">(POWER(AC76,2/3)*Y76)/(POWER($W$8,2/3)*$W$6)</f>
        <v>#DIV/0!</v>
      </c>
      <c r="AE76" s="15" t="e">
        <f t="shared" ref="AE76:AE139" si="29">SQRT(AC76/$W$8)*POWER(AC76/$W$8,1/8)</f>
        <v>#DIV/0!</v>
      </c>
      <c r="AF76" s="15" t="e">
        <f t="shared" ref="AF76:AF139" si="30">AE76*(Y76/$W$6)</f>
        <v>#DIV/0!</v>
      </c>
      <c r="AG76" s="15" t="e">
        <f t="shared" ref="AG76:AG139" si="31">Y76*$D$5*SQRT($D$6)*POWER(AC76,2/3)</f>
        <v>#DIV/0!</v>
      </c>
      <c r="AH76" s="53" t="e">
        <f t="shared" ref="AH76:AH139" si="32">-2*SQRT(8*9.81)*SQRT(AC76*$D$6)*LOG10(($AA$4/(3.71*4*AC76))+((2.51*$AA$5)/(4*AC76*SQRT(8*9.81)*SQRT(AC76*$D$6))))*Y76</f>
        <v>#DIV/0!</v>
      </c>
      <c r="AI76" s="102" t="e">
        <f t="shared" si="14"/>
        <v>#DIV/0!</v>
      </c>
      <c r="AJ76" s="15"/>
      <c r="AK76" s="15" t="e">
        <f t="shared" si="21"/>
        <v>#DIV/0!</v>
      </c>
      <c r="AL76" s="15" t="e">
        <f t="shared" si="22"/>
        <v>#DIV/0!</v>
      </c>
      <c r="AM76" s="15">
        <f t="shared" si="17"/>
        <v>0</v>
      </c>
      <c r="AN76" s="15" t="e">
        <f t="shared" si="18"/>
        <v>#DIV/0!</v>
      </c>
    </row>
    <row r="77" spans="18:40" ht="13.8" x14ac:dyDescent="0.3">
      <c r="R77" s="51">
        <v>32.5</v>
      </c>
      <c r="S77" s="38">
        <f t="shared" ref="S77:S140" si="33">2*R77</f>
        <v>65</v>
      </c>
      <c r="T77" s="52">
        <f t="shared" si="23"/>
        <v>1.1344640137963142</v>
      </c>
      <c r="U77" s="52">
        <f t="shared" si="19"/>
        <v>0.53729960834682389</v>
      </c>
      <c r="V77" s="52">
        <f t="shared" si="20"/>
        <v>0.90630778703664994</v>
      </c>
      <c r="W77" s="52">
        <f t="shared" ref="W77:W140" si="34">COS(T77/2)</f>
        <v>0.84339144581288572</v>
      </c>
      <c r="X77" s="52">
        <f t="shared" ref="X77:X140" si="35">2*$W$4*U77</f>
        <v>0</v>
      </c>
      <c r="Y77" s="15">
        <f t="shared" si="24"/>
        <v>0</v>
      </c>
      <c r="Z77" s="52">
        <f t="shared" si="25"/>
        <v>0</v>
      </c>
      <c r="AA77" s="52">
        <f t="shared" si="26"/>
        <v>0</v>
      </c>
      <c r="AB77" s="15" t="e">
        <f t="shared" si="27"/>
        <v>#DIV/0!</v>
      </c>
      <c r="AC77" s="15" t="e">
        <f t="shared" ref="AC77:AC140" si="36">Y77/AA77</f>
        <v>#DIV/0!</v>
      </c>
      <c r="AD77" s="15" t="e">
        <f t="shared" si="28"/>
        <v>#DIV/0!</v>
      </c>
      <c r="AE77" s="15" t="e">
        <f t="shared" si="29"/>
        <v>#DIV/0!</v>
      </c>
      <c r="AF77" s="15" t="e">
        <f t="shared" si="30"/>
        <v>#DIV/0!</v>
      </c>
      <c r="AG77" s="15" t="e">
        <f t="shared" si="31"/>
        <v>#DIV/0!</v>
      </c>
      <c r="AH77" s="53" t="e">
        <f t="shared" si="32"/>
        <v>#DIV/0!</v>
      </c>
      <c r="AI77" s="102" t="e">
        <f t="shared" ref="AI77:AI140" si="37">SQRT((AH77^2*X77)/(9.81*Y77^3))</f>
        <v>#DIV/0!</v>
      </c>
      <c r="AJ77" s="15"/>
      <c r="AK77" s="15" t="e">
        <f t="shared" si="21"/>
        <v>#DIV/0!</v>
      </c>
      <c r="AL77" s="15" t="e">
        <f t="shared" si="22"/>
        <v>#DIV/0!</v>
      </c>
      <c r="AM77" s="15">
        <f t="shared" ref="AM77:AM140" si="38">Y77</f>
        <v>0</v>
      </c>
      <c r="AN77" s="15" t="e">
        <f t="shared" ref="AN77:AN140" si="39">AC77</f>
        <v>#DIV/0!</v>
      </c>
    </row>
    <row r="78" spans="18:40" ht="13.8" x14ac:dyDescent="0.3">
      <c r="R78" s="51">
        <v>33</v>
      </c>
      <c r="S78" s="38">
        <f t="shared" si="33"/>
        <v>66</v>
      </c>
      <c r="T78" s="52">
        <f t="shared" si="23"/>
        <v>1.1519173063162575</v>
      </c>
      <c r="U78" s="52">
        <f t="shared" si="19"/>
        <v>0.54463903501502708</v>
      </c>
      <c r="V78" s="52">
        <f t="shared" si="20"/>
        <v>0.91354545764260087</v>
      </c>
      <c r="W78" s="52">
        <f t="shared" si="34"/>
        <v>0.83867056794542405</v>
      </c>
      <c r="X78" s="52">
        <f t="shared" si="35"/>
        <v>0</v>
      </c>
      <c r="Y78" s="15">
        <f t="shared" si="24"/>
        <v>0</v>
      </c>
      <c r="Z78" s="52">
        <f t="shared" si="25"/>
        <v>0</v>
      </c>
      <c r="AA78" s="52">
        <f t="shared" si="26"/>
        <v>0</v>
      </c>
      <c r="AB78" s="15" t="e">
        <f t="shared" si="27"/>
        <v>#DIV/0!</v>
      </c>
      <c r="AC78" s="15" t="e">
        <f t="shared" si="36"/>
        <v>#DIV/0!</v>
      </c>
      <c r="AD78" s="15" t="e">
        <f t="shared" si="28"/>
        <v>#DIV/0!</v>
      </c>
      <c r="AE78" s="15" t="e">
        <f t="shared" si="29"/>
        <v>#DIV/0!</v>
      </c>
      <c r="AF78" s="15" t="e">
        <f t="shared" si="30"/>
        <v>#DIV/0!</v>
      </c>
      <c r="AG78" s="15" t="e">
        <f t="shared" si="31"/>
        <v>#DIV/0!</v>
      </c>
      <c r="AH78" s="53" t="e">
        <f t="shared" si="32"/>
        <v>#DIV/0!</v>
      </c>
      <c r="AI78" s="102" t="e">
        <f t="shared" si="37"/>
        <v>#DIV/0!</v>
      </c>
      <c r="AJ78" s="15"/>
      <c r="AK78" s="15" t="e">
        <f t="shared" si="21"/>
        <v>#DIV/0!</v>
      </c>
      <c r="AL78" s="15" t="e">
        <f t="shared" si="22"/>
        <v>#DIV/0!</v>
      </c>
      <c r="AM78" s="15">
        <f t="shared" si="38"/>
        <v>0</v>
      </c>
      <c r="AN78" s="15" t="e">
        <f t="shared" si="39"/>
        <v>#DIV/0!</v>
      </c>
    </row>
    <row r="79" spans="18:40" ht="13.8" x14ac:dyDescent="0.3">
      <c r="R79" s="51">
        <v>33.5</v>
      </c>
      <c r="S79" s="38">
        <f t="shared" si="33"/>
        <v>67</v>
      </c>
      <c r="T79" s="52">
        <f t="shared" si="23"/>
        <v>1.1693705988362009</v>
      </c>
      <c r="U79" s="52">
        <f t="shared" ref="U79:U142" si="40">SIN(T79/2)</f>
        <v>0.55193698531205815</v>
      </c>
      <c r="V79" s="52">
        <f t="shared" ref="V79:V142" si="41">SIN(T79)</f>
        <v>0.92050485345244037</v>
      </c>
      <c r="W79" s="52">
        <f t="shared" si="34"/>
        <v>0.83388582206716821</v>
      </c>
      <c r="X79" s="52">
        <f t="shared" si="35"/>
        <v>0</v>
      </c>
      <c r="Y79" s="15">
        <f t="shared" si="24"/>
        <v>0</v>
      </c>
      <c r="Z79" s="52">
        <f t="shared" si="25"/>
        <v>0</v>
      </c>
      <c r="AA79" s="52">
        <f t="shared" si="26"/>
        <v>0</v>
      </c>
      <c r="AB79" s="15" t="e">
        <f t="shared" si="27"/>
        <v>#DIV/0!</v>
      </c>
      <c r="AC79" s="15" t="e">
        <f t="shared" si="36"/>
        <v>#DIV/0!</v>
      </c>
      <c r="AD79" s="15" t="e">
        <f t="shared" si="28"/>
        <v>#DIV/0!</v>
      </c>
      <c r="AE79" s="15" t="e">
        <f t="shared" si="29"/>
        <v>#DIV/0!</v>
      </c>
      <c r="AF79" s="15" t="e">
        <f t="shared" si="30"/>
        <v>#DIV/0!</v>
      </c>
      <c r="AG79" s="15" t="e">
        <f t="shared" si="31"/>
        <v>#DIV/0!</v>
      </c>
      <c r="AH79" s="53" t="e">
        <f t="shared" si="32"/>
        <v>#DIV/0!</v>
      </c>
      <c r="AI79" s="102" t="e">
        <f t="shared" si="37"/>
        <v>#DIV/0!</v>
      </c>
      <c r="AJ79" s="15"/>
      <c r="AK79" s="15" t="e">
        <f t="shared" si="21"/>
        <v>#DIV/0!</v>
      </c>
      <c r="AL79" s="15" t="e">
        <f t="shared" si="22"/>
        <v>#DIV/0!</v>
      </c>
      <c r="AM79" s="15">
        <f t="shared" si="38"/>
        <v>0</v>
      </c>
      <c r="AN79" s="15" t="e">
        <f t="shared" si="39"/>
        <v>#DIV/0!</v>
      </c>
    </row>
    <row r="80" spans="18:40" ht="13.8" x14ac:dyDescent="0.3">
      <c r="R80" s="51">
        <v>34</v>
      </c>
      <c r="S80" s="38">
        <f t="shared" si="33"/>
        <v>68</v>
      </c>
      <c r="T80" s="52">
        <f t="shared" si="23"/>
        <v>1.1868238913561442</v>
      </c>
      <c r="U80" s="52">
        <f t="shared" si="40"/>
        <v>0.5591929034707469</v>
      </c>
      <c r="V80" s="52">
        <f t="shared" si="41"/>
        <v>0.92718385456678742</v>
      </c>
      <c r="W80" s="52">
        <f t="shared" si="34"/>
        <v>0.82903757255504162</v>
      </c>
      <c r="X80" s="52">
        <f t="shared" si="35"/>
        <v>0</v>
      </c>
      <c r="Y80" s="15">
        <f t="shared" si="24"/>
        <v>0</v>
      </c>
      <c r="Z80" s="52">
        <f t="shared" si="25"/>
        <v>0</v>
      </c>
      <c r="AA80" s="52">
        <f t="shared" si="26"/>
        <v>0</v>
      </c>
      <c r="AB80" s="15" t="e">
        <f t="shared" si="27"/>
        <v>#DIV/0!</v>
      </c>
      <c r="AC80" s="15" t="e">
        <f t="shared" si="36"/>
        <v>#DIV/0!</v>
      </c>
      <c r="AD80" s="15" t="e">
        <f t="shared" si="28"/>
        <v>#DIV/0!</v>
      </c>
      <c r="AE80" s="15" t="e">
        <f t="shared" si="29"/>
        <v>#DIV/0!</v>
      </c>
      <c r="AF80" s="15" t="e">
        <f t="shared" si="30"/>
        <v>#DIV/0!</v>
      </c>
      <c r="AG80" s="15" t="e">
        <f t="shared" si="31"/>
        <v>#DIV/0!</v>
      </c>
      <c r="AH80" s="53" t="e">
        <f t="shared" si="32"/>
        <v>#DIV/0!</v>
      </c>
      <c r="AI80" s="102" t="e">
        <f t="shared" si="37"/>
        <v>#DIV/0!</v>
      </c>
      <c r="AJ80" s="15"/>
      <c r="AK80" s="15" t="e">
        <f t="shared" si="21"/>
        <v>#DIV/0!</v>
      </c>
      <c r="AL80" s="15" t="e">
        <f t="shared" si="22"/>
        <v>#DIV/0!</v>
      </c>
      <c r="AM80" s="15">
        <f t="shared" si="38"/>
        <v>0</v>
      </c>
      <c r="AN80" s="15" t="e">
        <f t="shared" si="39"/>
        <v>#DIV/0!</v>
      </c>
    </row>
    <row r="81" spans="18:40" ht="13.8" x14ac:dyDescent="0.3">
      <c r="R81" s="51">
        <v>34.5</v>
      </c>
      <c r="S81" s="38">
        <f t="shared" si="33"/>
        <v>69</v>
      </c>
      <c r="T81" s="52">
        <f t="shared" si="23"/>
        <v>1.2042771838760873</v>
      </c>
      <c r="U81" s="52">
        <f t="shared" si="40"/>
        <v>0.56640623692483283</v>
      </c>
      <c r="V81" s="52">
        <f t="shared" si="41"/>
        <v>0.93358042649720174</v>
      </c>
      <c r="W81" s="52">
        <f t="shared" si="34"/>
        <v>0.8241261886220157</v>
      </c>
      <c r="X81" s="52">
        <f t="shared" si="35"/>
        <v>0</v>
      </c>
      <c r="Y81" s="15">
        <f t="shared" si="24"/>
        <v>0</v>
      </c>
      <c r="Z81" s="52">
        <f t="shared" si="25"/>
        <v>0</v>
      </c>
      <c r="AA81" s="52">
        <f t="shared" si="26"/>
        <v>0</v>
      </c>
      <c r="AB81" s="15" t="e">
        <f t="shared" si="27"/>
        <v>#DIV/0!</v>
      </c>
      <c r="AC81" s="15" t="e">
        <f t="shared" si="36"/>
        <v>#DIV/0!</v>
      </c>
      <c r="AD81" s="15" t="e">
        <f t="shared" si="28"/>
        <v>#DIV/0!</v>
      </c>
      <c r="AE81" s="15" t="e">
        <f t="shared" si="29"/>
        <v>#DIV/0!</v>
      </c>
      <c r="AF81" s="15" t="e">
        <f t="shared" si="30"/>
        <v>#DIV/0!</v>
      </c>
      <c r="AG81" s="15" t="e">
        <f t="shared" si="31"/>
        <v>#DIV/0!</v>
      </c>
      <c r="AH81" s="53" t="e">
        <f t="shared" si="32"/>
        <v>#DIV/0!</v>
      </c>
      <c r="AI81" s="102" t="e">
        <f t="shared" si="37"/>
        <v>#DIV/0!</v>
      </c>
      <c r="AJ81" s="15"/>
      <c r="AK81" s="15" t="e">
        <f t="shared" si="21"/>
        <v>#DIV/0!</v>
      </c>
      <c r="AL81" s="15" t="e">
        <f t="shared" si="22"/>
        <v>#DIV/0!</v>
      </c>
      <c r="AM81" s="15">
        <f t="shared" si="38"/>
        <v>0</v>
      </c>
      <c r="AN81" s="15" t="e">
        <f t="shared" si="39"/>
        <v>#DIV/0!</v>
      </c>
    </row>
    <row r="82" spans="18:40" ht="13.8" x14ac:dyDescent="0.3">
      <c r="R82" s="51">
        <v>35</v>
      </c>
      <c r="S82" s="38">
        <f t="shared" si="33"/>
        <v>70</v>
      </c>
      <c r="T82" s="52">
        <f t="shared" si="23"/>
        <v>1.2217304763960306</v>
      </c>
      <c r="U82" s="52">
        <f t="shared" si="40"/>
        <v>0.57357643635104605</v>
      </c>
      <c r="V82" s="52">
        <f t="shared" si="41"/>
        <v>0.93969262078590832</v>
      </c>
      <c r="W82" s="52">
        <f t="shared" si="34"/>
        <v>0.8191520442889918</v>
      </c>
      <c r="X82" s="52">
        <f t="shared" si="35"/>
        <v>0</v>
      </c>
      <c r="Y82" s="15">
        <f t="shared" si="24"/>
        <v>0</v>
      </c>
      <c r="Z82" s="52">
        <f t="shared" si="25"/>
        <v>0</v>
      </c>
      <c r="AA82" s="52">
        <f t="shared" si="26"/>
        <v>0</v>
      </c>
      <c r="AB82" s="15" t="e">
        <f t="shared" si="27"/>
        <v>#DIV/0!</v>
      </c>
      <c r="AC82" s="15" t="e">
        <f t="shared" si="36"/>
        <v>#DIV/0!</v>
      </c>
      <c r="AD82" s="15" t="e">
        <f t="shared" si="28"/>
        <v>#DIV/0!</v>
      </c>
      <c r="AE82" s="15" t="e">
        <f t="shared" si="29"/>
        <v>#DIV/0!</v>
      </c>
      <c r="AF82" s="15" t="e">
        <f t="shared" si="30"/>
        <v>#DIV/0!</v>
      </c>
      <c r="AG82" s="15" t="e">
        <f t="shared" si="31"/>
        <v>#DIV/0!</v>
      </c>
      <c r="AH82" s="53" t="e">
        <f t="shared" si="32"/>
        <v>#DIV/0!</v>
      </c>
      <c r="AI82" s="102" t="e">
        <f t="shared" si="37"/>
        <v>#DIV/0!</v>
      </c>
      <c r="AJ82" s="15"/>
      <c r="AK82" s="15" t="e">
        <f t="shared" si="21"/>
        <v>#DIV/0!</v>
      </c>
      <c r="AL82" s="15" t="e">
        <f t="shared" si="22"/>
        <v>#DIV/0!</v>
      </c>
      <c r="AM82" s="15">
        <f t="shared" si="38"/>
        <v>0</v>
      </c>
      <c r="AN82" s="15" t="e">
        <f t="shared" si="39"/>
        <v>#DIV/0!</v>
      </c>
    </row>
    <row r="83" spans="18:40" ht="13.8" x14ac:dyDescent="0.3">
      <c r="R83" s="51">
        <v>35.5</v>
      </c>
      <c r="S83" s="38">
        <f t="shared" si="33"/>
        <v>71</v>
      </c>
      <c r="T83" s="52">
        <f t="shared" si="23"/>
        <v>1.2391837689159739</v>
      </c>
      <c r="U83" s="52">
        <f t="shared" si="40"/>
        <v>0.58070295571093977</v>
      </c>
      <c r="V83" s="52">
        <f t="shared" si="41"/>
        <v>0.94551857559931674</v>
      </c>
      <c r="W83" s="52">
        <f t="shared" si="34"/>
        <v>0.81411551835631923</v>
      </c>
      <c r="X83" s="52">
        <f t="shared" si="35"/>
        <v>0</v>
      </c>
      <c r="Y83" s="15">
        <f t="shared" si="24"/>
        <v>0</v>
      </c>
      <c r="Z83" s="52">
        <f t="shared" si="25"/>
        <v>0</v>
      </c>
      <c r="AA83" s="52">
        <f t="shared" si="26"/>
        <v>0</v>
      </c>
      <c r="AB83" s="15" t="e">
        <f t="shared" si="27"/>
        <v>#DIV/0!</v>
      </c>
      <c r="AC83" s="15" t="e">
        <f t="shared" si="36"/>
        <v>#DIV/0!</v>
      </c>
      <c r="AD83" s="15" t="e">
        <f t="shared" si="28"/>
        <v>#DIV/0!</v>
      </c>
      <c r="AE83" s="15" t="e">
        <f t="shared" si="29"/>
        <v>#DIV/0!</v>
      </c>
      <c r="AF83" s="15" t="e">
        <f t="shared" si="30"/>
        <v>#DIV/0!</v>
      </c>
      <c r="AG83" s="15" t="e">
        <f t="shared" si="31"/>
        <v>#DIV/0!</v>
      </c>
      <c r="AH83" s="53" t="e">
        <f t="shared" si="32"/>
        <v>#DIV/0!</v>
      </c>
      <c r="AI83" s="102" t="e">
        <f t="shared" si="37"/>
        <v>#DIV/0!</v>
      </c>
      <c r="AJ83" s="15"/>
      <c r="AK83" s="15" t="e">
        <f t="shared" si="21"/>
        <v>#DIV/0!</v>
      </c>
      <c r="AL83" s="15" t="e">
        <f t="shared" si="22"/>
        <v>#DIV/0!</v>
      </c>
      <c r="AM83" s="15">
        <f t="shared" si="38"/>
        <v>0</v>
      </c>
      <c r="AN83" s="15" t="e">
        <f t="shared" si="39"/>
        <v>#DIV/0!</v>
      </c>
    </row>
    <row r="84" spans="18:40" ht="13.8" x14ac:dyDescent="0.3">
      <c r="R84" s="51">
        <v>36</v>
      </c>
      <c r="S84" s="38">
        <f t="shared" si="33"/>
        <v>72</v>
      </c>
      <c r="T84" s="52">
        <f t="shared" si="23"/>
        <v>1.2566370614359172</v>
      </c>
      <c r="U84" s="52">
        <f t="shared" si="40"/>
        <v>0.58778525229247314</v>
      </c>
      <c r="V84" s="52">
        <f t="shared" si="41"/>
        <v>0.95105651629515353</v>
      </c>
      <c r="W84" s="52">
        <f t="shared" si="34"/>
        <v>0.80901699437494745</v>
      </c>
      <c r="X84" s="52">
        <f t="shared" si="35"/>
        <v>0</v>
      </c>
      <c r="Y84" s="15">
        <f t="shared" si="24"/>
        <v>0</v>
      </c>
      <c r="Z84" s="52">
        <f t="shared" si="25"/>
        <v>0</v>
      </c>
      <c r="AA84" s="52">
        <f t="shared" si="26"/>
        <v>0</v>
      </c>
      <c r="AB84" s="15" t="e">
        <f t="shared" si="27"/>
        <v>#DIV/0!</v>
      </c>
      <c r="AC84" s="15" t="e">
        <f t="shared" si="36"/>
        <v>#DIV/0!</v>
      </c>
      <c r="AD84" s="15" t="e">
        <f t="shared" si="28"/>
        <v>#DIV/0!</v>
      </c>
      <c r="AE84" s="15" t="e">
        <f t="shared" si="29"/>
        <v>#DIV/0!</v>
      </c>
      <c r="AF84" s="15" t="e">
        <f t="shared" si="30"/>
        <v>#DIV/0!</v>
      </c>
      <c r="AG84" s="15" t="e">
        <f t="shared" si="31"/>
        <v>#DIV/0!</v>
      </c>
      <c r="AH84" s="53" t="e">
        <f t="shared" si="32"/>
        <v>#DIV/0!</v>
      </c>
      <c r="AI84" s="102" t="e">
        <f t="shared" si="37"/>
        <v>#DIV/0!</v>
      </c>
      <c r="AJ84" s="15"/>
      <c r="AK84" s="15" t="e">
        <f t="shared" si="21"/>
        <v>#DIV/0!</v>
      </c>
      <c r="AL84" s="15" t="e">
        <f t="shared" si="22"/>
        <v>#DIV/0!</v>
      </c>
      <c r="AM84" s="15">
        <f t="shared" si="38"/>
        <v>0</v>
      </c>
      <c r="AN84" s="15" t="e">
        <f t="shared" si="39"/>
        <v>#DIV/0!</v>
      </c>
    </row>
    <row r="85" spans="18:40" ht="13.8" x14ac:dyDescent="0.3">
      <c r="R85" s="51">
        <v>36.5</v>
      </c>
      <c r="S85" s="38">
        <f t="shared" si="33"/>
        <v>73</v>
      </c>
      <c r="T85" s="52">
        <f t="shared" si="23"/>
        <v>1.2740903539558606</v>
      </c>
      <c r="U85" s="52">
        <f t="shared" si="40"/>
        <v>0.59482278675134126</v>
      </c>
      <c r="V85" s="52">
        <f t="shared" si="41"/>
        <v>0.95630475596303544</v>
      </c>
      <c r="W85" s="52">
        <f t="shared" si="34"/>
        <v>0.80385686061721728</v>
      </c>
      <c r="X85" s="52">
        <f t="shared" si="35"/>
        <v>0</v>
      </c>
      <c r="Y85" s="15">
        <f t="shared" si="24"/>
        <v>0</v>
      </c>
      <c r="Z85" s="52">
        <f t="shared" si="25"/>
        <v>0</v>
      </c>
      <c r="AA85" s="52">
        <f t="shared" si="26"/>
        <v>0</v>
      </c>
      <c r="AB85" s="15" t="e">
        <f t="shared" si="27"/>
        <v>#DIV/0!</v>
      </c>
      <c r="AC85" s="15" t="e">
        <f t="shared" si="36"/>
        <v>#DIV/0!</v>
      </c>
      <c r="AD85" s="15" t="e">
        <f t="shared" si="28"/>
        <v>#DIV/0!</v>
      </c>
      <c r="AE85" s="15" t="e">
        <f t="shared" si="29"/>
        <v>#DIV/0!</v>
      </c>
      <c r="AF85" s="15" t="e">
        <f t="shared" si="30"/>
        <v>#DIV/0!</v>
      </c>
      <c r="AG85" s="15" t="e">
        <f t="shared" si="31"/>
        <v>#DIV/0!</v>
      </c>
      <c r="AH85" s="53" t="e">
        <f t="shared" si="32"/>
        <v>#DIV/0!</v>
      </c>
      <c r="AI85" s="102" t="e">
        <f t="shared" si="37"/>
        <v>#DIV/0!</v>
      </c>
      <c r="AJ85" s="15"/>
      <c r="AK85" s="15" t="e">
        <f t="shared" si="21"/>
        <v>#DIV/0!</v>
      </c>
      <c r="AL85" s="15" t="e">
        <f t="shared" si="22"/>
        <v>#DIV/0!</v>
      </c>
      <c r="AM85" s="15">
        <f t="shared" si="38"/>
        <v>0</v>
      </c>
      <c r="AN85" s="15" t="e">
        <f t="shared" si="39"/>
        <v>#DIV/0!</v>
      </c>
    </row>
    <row r="86" spans="18:40" ht="13.8" x14ac:dyDescent="0.3">
      <c r="R86" s="51">
        <v>37</v>
      </c>
      <c r="S86" s="38">
        <f t="shared" si="33"/>
        <v>74</v>
      </c>
      <c r="T86" s="52">
        <f t="shared" si="23"/>
        <v>1.2915436464758039</v>
      </c>
      <c r="U86" s="52">
        <f t="shared" si="40"/>
        <v>0.60181502315204827</v>
      </c>
      <c r="V86" s="52">
        <f t="shared" si="41"/>
        <v>0.96126169593831889</v>
      </c>
      <c r="W86" s="52">
        <f t="shared" si="34"/>
        <v>0.79863551004729283</v>
      </c>
      <c r="X86" s="52">
        <f t="shared" si="35"/>
        <v>0</v>
      </c>
      <c r="Y86" s="15">
        <f t="shared" si="24"/>
        <v>0</v>
      </c>
      <c r="Z86" s="52">
        <f t="shared" si="25"/>
        <v>0</v>
      </c>
      <c r="AA86" s="52">
        <f t="shared" si="26"/>
        <v>0</v>
      </c>
      <c r="AB86" s="15" t="e">
        <f t="shared" si="27"/>
        <v>#DIV/0!</v>
      </c>
      <c r="AC86" s="15" t="e">
        <f t="shared" si="36"/>
        <v>#DIV/0!</v>
      </c>
      <c r="AD86" s="15" t="e">
        <f t="shared" si="28"/>
        <v>#DIV/0!</v>
      </c>
      <c r="AE86" s="15" t="e">
        <f t="shared" si="29"/>
        <v>#DIV/0!</v>
      </c>
      <c r="AF86" s="15" t="e">
        <f t="shared" si="30"/>
        <v>#DIV/0!</v>
      </c>
      <c r="AG86" s="15" t="e">
        <f t="shared" si="31"/>
        <v>#DIV/0!</v>
      </c>
      <c r="AH86" s="53" t="e">
        <f t="shared" si="32"/>
        <v>#DIV/0!</v>
      </c>
      <c r="AI86" s="102" t="e">
        <f t="shared" si="37"/>
        <v>#DIV/0!</v>
      </c>
      <c r="AJ86" s="15"/>
      <c r="AK86" s="15" t="e">
        <f t="shared" si="21"/>
        <v>#DIV/0!</v>
      </c>
      <c r="AL86" s="15" t="e">
        <f t="shared" si="22"/>
        <v>#DIV/0!</v>
      </c>
      <c r="AM86" s="15">
        <f t="shared" si="38"/>
        <v>0</v>
      </c>
      <c r="AN86" s="15" t="e">
        <f t="shared" si="39"/>
        <v>#DIV/0!</v>
      </c>
    </row>
    <row r="87" spans="18:40" ht="13.8" x14ac:dyDescent="0.3">
      <c r="R87" s="51">
        <v>37.5</v>
      </c>
      <c r="S87" s="38">
        <f t="shared" si="33"/>
        <v>75</v>
      </c>
      <c r="T87" s="52">
        <f t="shared" si="23"/>
        <v>1.3089969389957472</v>
      </c>
      <c r="U87" s="52">
        <f t="shared" si="40"/>
        <v>0.60876142900872066</v>
      </c>
      <c r="V87" s="52">
        <f t="shared" si="41"/>
        <v>0.96592582628906831</v>
      </c>
      <c r="W87" s="52">
        <f t="shared" si="34"/>
        <v>0.79335334029123517</v>
      </c>
      <c r="X87" s="52">
        <f t="shared" si="35"/>
        <v>0</v>
      </c>
      <c r="Y87" s="15">
        <f t="shared" si="24"/>
        <v>0</v>
      </c>
      <c r="Z87" s="52">
        <f t="shared" si="25"/>
        <v>0</v>
      </c>
      <c r="AA87" s="52">
        <f t="shared" si="26"/>
        <v>0</v>
      </c>
      <c r="AB87" s="15" t="e">
        <f t="shared" si="27"/>
        <v>#DIV/0!</v>
      </c>
      <c r="AC87" s="15" t="e">
        <f t="shared" si="36"/>
        <v>#DIV/0!</v>
      </c>
      <c r="AD87" s="15" t="e">
        <f t="shared" si="28"/>
        <v>#DIV/0!</v>
      </c>
      <c r="AE87" s="15" t="e">
        <f t="shared" si="29"/>
        <v>#DIV/0!</v>
      </c>
      <c r="AF87" s="15" t="e">
        <f t="shared" si="30"/>
        <v>#DIV/0!</v>
      </c>
      <c r="AG87" s="15" t="e">
        <f t="shared" si="31"/>
        <v>#DIV/0!</v>
      </c>
      <c r="AH87" s="53" t="e">
        <f t="shared" si="32"/>
        <v>#DIV/0!</v>
      </c>
      <c r="AI87" s="102" t="e">
        <f t="shared" si="37"/>
        <v>#DIV/0!</v>
      </c>
      <c r="AJ87" s="15"/>
      <c r="AK87" s="15" t="e">
        <f t="shared" si="21"/>
        <v>#DIV/0!</v>
      </c>
      <c r="AL87" s="15" t="e">
        <f t="shared" si="22"/>
        <v>#DIV/0!</v>
      </c>
      <c r="AM87" s="15">
        <f t="shared" si="38"/>
        <v>0</v>
      </c>
      <c r="AN87" s="15" t="e">
        <f t="shared" si="39"/>
        <v>#DIV/0!</v>
      </c>
    </row>
    <row r="88" spans="18:40" ht="13.8" x14ac:dyDescent="0.3">
      <c r="R88" s="51">
        <v>38</v>
      </c>
      <c r="S88" s="38">
        <f t="shared" si="33"/>
        <v>76</v>
      </c>
      <c r="T88" s="52">
        <f t="shared" si="23"/>
        <v>1.3264502315156905</v>
      </c>
      <c r="U88" s="52">
        <f t="shared" si="40"/>
        <v>0.61566147532565829</v>
      </c>
      <c r="V88" s="52">
        <f t="shared" si="41"/>
        <v>0.97029572627599647</v>
      </c>
      <c r="W88" s="52">
        <f t="shared" si="34"/>
        <v>0.7880107536067219</v>
      </c>
      <c r="X88" s="52">
        <f t="shared" si="35"/>
        <v>0</v>
      </c>
      <c r="Y88" s="15">
        <f t="shared" si="24"/>
        <v>0</v>
      </c>
      <c r="Z88" s="52">
        <f t="shared" si="25"/>
        <v>0</v>
      </c>
      <c r="AA88" s="52">
        <f t="shared" si="26"/>
        <v>0</v>
      </c>
      <c r="AB88" s="15" t="e">
        <f t="shared" si="27"/>
        <v>#DIV/0!</v>
      </c>
      <c r="AC88" s="15" t="e">
        <f t="shared" si="36"/>
        <v>#DIV/0!</v>
      </c>
      <c r="AD88" s="15" t="e">
        <f t="shared" si="28"/>
        <v>#DIV/0!</v>
      </c>
      <c r="AE88" s="15" t="e">
        <f t="shared" si="29"/>
        <v>#DIV/0!</v>
      </c>
      <c r="AF88" s="15" t="e">
        <f t="shared" si="30"/>
        <v>#DIV/0!</v>
      </c>
      <c r="AG88" s="15" t="e">
        <f t="shared" si="31"/>
        <v>#DIV/0!</v>
      </c>
      <c r="AH88" s="53" t="e">
        <f t="shared" si="32"/>
        <v>#DIV/0!</v>
      </c>
      <c r="AI88" s="102" t="e">
        <f t="shared" si="37"/>
        <v>#DIV/0!</v>
      </c>
      <c r="AJ88" s="15"/>
      <c r="AK88" s="15" t="e">
        <f t="shared" si="21"/>
        <v>#DIV/0!</v>
      </c>
      <c r="AL88" s="15" t="e">
        <f t="shared" si="22"/>
        <v>#DIV/0!</v>
      </c>
      <c r="AM88" s="15">
        <f t="shared" si="38"/>
        <v>0</v>
      </c>
      <c r="AN88" s="15" t="e">
        <f t="shared" si="39"/>
        <v>#DIV/0!</v>
      </c>
    </row>
    <row r="89" spans="18:40" ht="13.8" x14ac:dyDescent="0.3">
      <c r="R89" s="51">
        <v>38.5</v>
      </c>
      <c r="S89" s="38">
        <f t="shared" si="33"/>
        <v>77</v>
      </c>
      <c r="T89" s="52">
        <f t="shared" si="23"/>
        <v>1.3439035240356338</v>
      </c>
      <c r="U89" s="52">
        <f t="shared" si="40"/>
        <v>0.62251463663761952</v>
      </c>
      <c r="V89" s="52">
        <f t="shared" si="41"/>
        <v>0.97437006478523525</v>
      </c>
      <c r="W89" s="52">
        <f t="shared" si="34"/>
        <v>0.78260815685241392</v>
      </c>
      <c r="X89" s="52">
        <f t="shared" si="35"/>
        <v>0</v>
      </c>
      <c r="Y89" s="15">
        <f t="shared" si="24"/>
        <v>0</v>
      </c>
      <c r="Z89" s="52">
        <f t="shared" si="25"/>
        <v>0</v>
      </c>
      <c r="AA89" s="52">
        <f t="shared" si="26"/>
        <v>0</v>
      </c>
      <c r="AB89" s="15" t="e">
        <f t="shared" si="27"/>
        <v>#DIV/0!</v>
      </c>
      <c r="AC89" s="15" t="e">
        <f t="shared" si="36"/>
        <v>#DIV/0!</v>
      </c>
      <c r="AD89" s="15" t="e">
        <f t="shared" si="28"/>
        <v>#DIV/0!</v>
      </c>
      <c r="AE89" s="15" t="e">
        <f t="shared" si="29"/>
        <v>#DIV/0!</v>
      </c>
      <c r="AF89" s="15" t="e">
        <f t="shared" si="30"/>
        <v>#DIV/0!</v>
      </c>
      <c r="AG89" s="15" t="e">
        <f t="shared" si="31"/>
        <v>#DIV/0!</v>
      </c>
      <c r="AH89" s="53" t="e">
        <f t="shared" si="32"/>
        <v>#DIV/0!</v>
      </c>
      <c r="AI89" s="102" t="e">
        <f t="shared" si="37"/>
        <v>#DIV/0!</v>
      </c>
      <c r="AJ89" s="15"/>
      <c r="AK89" s="15" t="e">
        <f t="shared" si="21"/>
        <v>#DIV/0!</v>
      </c>
      <c r="AL89" s="15" t="e">
        <f t="shared" si="22"/>
        <v>#DIV/0!</v>
      </c>
      <c r="AM89" s="15">
        <f t="shared" si="38"/>
        <v>0</v>
      </c>
      <c r="AN89" s="15" t="e">
        <f t="shared" si="39"/>
        <v>#DIV/0!</v>
      </c>
    </row>
    <row r="90" spans="18:40" ht="13.8" x14ac:dyDescent="0.3">
      <c r="R90" s="51">
        <v>39</v>
      </c>
      <c r="S90" s="38">
        <f t="shared" si="33"/>
        <v>78</v>
      </c>
      <c r="T90" s="52">
        <f t="shared" si="23"/>
        <v>1.3613568165555769</v>
      </c>
      <c r="U90" s="52">
        <f t="shared" si="40"/>
        <v>0.62932039104983739</v>
      </c>
      <c r="V90" s="52">
        <f t="shared" si="41"/>
        <v>0.97814760073380558</v>
      </c>
      <c r="W90" s="52">
        <f t="shared" si="34"/>
        <v>0.7771459614569709</v>
      </c>
      <c r="X90" s="52">
        <f t="shared" si="35"/>
        <v>0</v>
      </c>
      <c r="Y90" s="15">
        <f t="shared" si="24"/>
        <v>0</v>
      </c>
      <c r="Z90" s="52">
        <f t="shared" si="25"/>
        <v>0</v>
      </c>
      <c r="AA90" s="52">
        <f t="shared" si="26"/>
        <v>0</v>
      </c>
      <c r="AB90" s="15" t="e">
        <f t="shared" si="27"/>
        <v>#DIV/0!</v>
      </c>
      <c r="AC90" s="15" t="e">
        <f t="shared" si="36"/>
        <v>#DIV/0!</v>
      </c>
      <c r="AD90" s="15" t="e">
        <f t="shared" si="28"/>
        <v>#DIV/0!</v>
      </c>
      <c r="AE90" s="15" t="e">
        <f t="shared" si="29"/>
        <v>#DIV/0!</v>
      </c>
      <c r="AF90" s="15" t="e">
        <f t="shared" si="30"/>
        <v>#DIV/0!</v>
      </c>
      <c r="AG90" s="15" t="e">
        <f t="shared" si="31"/>
        <v>#DIV/0!</v>
      </c>
      <c r="AH90" s="53" t="e">
        <f t="shared" si="32"/>
        <v>#DIV/0!</v>
      </c>
      <c r="AI90" s="102" t="e">
        <f t="shared" si="37"/>
        <v>#DIV/0!</v>
      </c>
      <c r="AJ90" s="15"/>
      <c r="AK90" s="15" t="e">
        <f t="shared" si="21"/>
        <v>#DIV/0!</v>
      </c>
      <c r="AL90" s="15" t="e">
        <f t="shared" si="22"/>
        <v>#DIV/0!</v>
      </c>
      <c r="AM90" s="15">
        <f t="shared" si="38"/>
        <v>0</v>
      </c>
      <c r="AN90" s="15" t="e">
        <f t="shared" si="39"/>
        <v>#DIV/0!</v>
      </c>
    </row>
    <row r="91" spans="18:40" ht="13.8" x14ac:dyDescent="0.3">
      <c r="R91" s="51">
        <v>39.5</v>
      </c>
      <c r="S91" s="38">
        <f t="shared" si="33"/>
        <v>79</v>
      </c>
      <c r="T91" s="52">
        <f t="shared" si="23"/>
        <v>1.3788101090755203</v>
      </c>
      <c r="U91" s="52">
        <f t="shared" si="40"/>
        <v>0.63607822027776395</v>
      </c>
      <c r="V91" s="52">
        <f t="shared" si="41"/>
        <v>0.98162718344766398</v>
      </c>
      <c r="W91" s="52">
        <f t="shared" si="34"/>
        <v>0.77162458338772</v>
      </c>
      <c r="X91" s="52">
        <f t="shared" si="35"/>
        <v>0</v>
      </c>
      <c r="Y91" s="15">
        <f t="shared" si="24"/>
        <v>0</v>
      </c>
      <c r="Z91" s="52">
        <f t="shared" si="25"/>
        <v>0</v>
      </c>
      <c r="AA91" s="52">
        <f t="shared" si="26"/>
        <v>0</v>
      </c>
      <c r="AB91" s="15" t="e">
        <f t="shared" si="27"/>
        <v>#DIV/0!</v>
      </c>
      <c r="AC91" s="15" t="e">
        <f t="shared" si="36"/>
        <v>#DIV/0!</v>
      </c>
      <c r="AD91" s="15" t="e">
        <f t="shared" si="28"/>
        <v>#DIV/0!</v>
      </c>
      <c r="AE91" s="15" t="e">
        <f t="shared" si="29"/>
        <v>#DIV/0!</v>
      </c>
      <c r="AF91" s="15" t="e">
        <f t="shared" si="30"/>
        <v>#DIV/0!</v>
      </c>
      <c r="AG91" s="15" t="e">
        <f t="shared" si="31"/>
        <v>#DIV/0!</v>
      </c>
      <c r="AH91" s="53" t="e">
        <f t="shared" si="32"/>
        <v>#DIV/0!</v>
      </c>
      <c r="AI91" s="102" t="e">
        <f t="shared" si="37"/>
        <v>#DIV/0!</v>
      </c>
      <c r="AJ91" s="15"/>
      <c r="AK91" s="15" t="e">
        <f t="shared" si="21"/>
        <v>#DIV/0!</v>
      </c>
      <c r="AL91" s="15" t="e">
        <f t="shared" si="22"/>
        <v>#DIV/0!</v>
      </c>
      <c r="AM91" s="15">
        <f t="shared" si="38"/>
        <v>0</v>
      </c>
      <c r="AN91" s="15" t="e">
        <f t="shared" si="39"/>
        <v>#DIV/0!</v>
      </c>
    </row>
    <row r="92" spans="18:40" ht="13.8" x14ac:dyDescent="0.3">
      <c r="R92" s="51">
        <v>40</v>
      </c>
      <c r="S92" s="38">
        <f t="shared" si="33"/>
        <v>80</v>
      </c>
      <c r="T92" s="52">
        <f t="shared" si="23"/>
        <v>1.3962634015954636</v>
      </c>
      <c r="U92" s="52">
        <f t="shared" si="40"/>
        <v>0.64278760968653925</v>
      </c>
      <c r="V92" s="52">
        <f t="shared" si="41"/>
        <v>0.98480775301220802</v>
      </c>
      <c r="W92" s="52">
        <f t="shared" si="34"/>
        <v>0.76604444311897801</v>
      </c>
      <c r="X92" s="52">
        <f t="shared" si="35"/>
        <v>0</v>
      </c>
      <c r="Y92" s="15">
        <f t="shared" si="24"/>
        <v>0</v>
      </c>
      <c r="Z92" s="52">
        <f t="shared" si="25"/>
        <v>0</v>
      </c>
      <c r="AA92" s="52">
        <f t="shared" si="26"/>
        <v>0</v>
      </c>
      <c r="AB92" s="15" t="e">
        <f t="shared" si="27"/>
        <v>#DIV/0!</v>
      </c>
      <c r="AC92" s="15" t="e">
        <f t="shared" si="36"/>
        <v>#DIV/0!</v>
      </c>
      <c r="AD92" s="15" t="e">
        <f t="shared" si="28"/>
        <v>#DIV/0!</v>
      </c>
      <c r="AE92" s="15" t="e">
        <f t="shared" si="29"/>
        <v>#DIV/0!</v>
      </c>
      <c r="AF92" s="15" t="e">
        <f t="shared" si="30"/>
        <v>#DIV/0!</v>
      </c>
      <c r="AG92" s="15" t="e">
        <f t="shared" si="31"/>
        <v>#DIV/0!</v>
      </c>
      <c r="AH92" s="53" t="e">
        <f t="shared" si="32"/>
        <v>#DIV/0!</v>
      </c>
      <c r="AI92" s="102" t="e">
        <f t="shared" si="37"/>
        <v>#DIV/0!</v>
      </c>
      <c r="AJ92" s="15"/>
      <c r="AK92" s="15" t="e">
        <f t="shared" si="21"/>
        <v>#DIV/0!</v>
      </c>
      <c r="AL92" s="15" t="e">
        <f t="shared" si="22"/>
        <v>#DIV/0!</v>
      </c>
      <c r="AM92" s="15">
        <f t="shared" si="38"/>
        <v>0</v>
      </c>
      <c r="AN92" s="15" t="e">
        <f t="shared" si="39"/>
        <v>#DIV/0!</v>
      </c>
    </row>
    <row r="93" spans="18:40" ht="13.8" x14ac:dyDescent="0.3">
      <c r="R93" s="51">
        <v>40.5</v>
      </c>
      <c r="S93" s="38">
        <f t="shared" si="33"/>
        <v>81</v>
      </c>
      <c r="T93" s="52">
        <f t="shared" si="23"/>
        <v>1.4137166941154069</v>
      </c>
      <c r="U93" s="52">
        <f t="shared" si="40"/>
        <v>0.64944804833018366</v>
      </c>
      <c r="V93" s="52">
        <f t="shared" si="41"/>
        <v>0.98768834059513777</v>
      </c>
      <c r="W93" s="52">
        <f t="shared" si="34"/>
        <v>0.76040596560003093</v>
      </c>
      <c r="X93" s="52">
        <f t="shared" si="35"/>
        <v>0</v>
      </c>
      <c r="Y93" s="15">
        <f t="shared" si="24"/>
        <v>0</v>
      </c>
      <c r="Z93" s="52">
        <f t="shared" si="25"/>
        <v>0</v>
      </c>
      <c r="AA93" s="52">
        <f t="shared" si="26"/>
        <v>0</v>
      </c>
      <c r="AB93" s="15" t="e">
        <f t="shared" si="27"/>
        <v>#DIV/0!</v>
      </c>
      <c r="AC93" s="15" t="e">
        <f t="shared" si="36"/>
        <v>#DIV/0!</v>
      </c>
      <c r="AD93" s="15" t="e">
        <f t="shared" si="28"/>
        <v>#DIV/0!</v>
      </c>
      <c r="AE93" s="15" t="e">
        <f t="shared" si="29"/>
        <v>#DIV/0!</v>
      </c>
      <c r="AF93" s="15" t="e">
        <f t="shared" si="30"/>
        <v>#DIV/0!</v>
      </c>
      <c r="AG93" s="15" t="e">
        <f t="shared" si="31"/>
        <v>#DIV/0!</v>
      </c>
      <c r="AH93" s="53" t="e">
        <f t="shared" si="32"/>
        <v>#DIV/0!</v>
      </c>
      <c r="AI93" s="102" t="e">
        <f t="shared" si="37"/>
        <v>#DIV/0!</v>
      </c>
      <c r="AJ93" s="15"/>
      <c r="AK93" s="15" t="e">
        <f t="shared" si="21"/>
        <v>#DIV/0!</v>
      </c>
      <c r="AL93" s="15" t="e">
        <f t="shared" si="22"/>
        <v>#DIV/0!</v>
      </c>
      <c r="AM93" s="15">
        <f t="shared" si="38"/>
        <v>0</v>
      </c>
      <c r="AN93" s="15" t="e">
        <f t="shared" si="39"/>
        <v>#DIV/0!</v>
      </c>
    </row>
    <row r="94" spans="18:40" ht="13.8" x14ac:dyDescent="0.3">
      <c r="R94" s="51">
        <v>41</v>
      </c>
      <c r="S94" s="38">
        <f t="shared" si="33"/>
        <v>82</v>
      </c>
      <c r="T94" s="52">
        <f t="shared" si="23"/>
        <v>1.4311699866353502</v>
      </c>
      <c r="U94" s="52">
        <f t="shared" si="40"/>
        <v>0.65605902899050728</v>
      </c>
      <c r="V94" s="52">
        <f t="shared" si="41"/>
        <v>0.99026806874157036</v>
      </c>
      <c r="W94" s="52">
        <f t="shared" si="34"/>
        <v>0.75470958022277201</v>
      </c>
      <c r="X94" s="52">
        <f t="shared" si="35"/>
        <v>0</v>
      </c>
      <c r="Y94" s="15">
        <f t="shared" si="24"/>
        <v>0</v>
      </c>
      <c r="Z94" s="52">
        <f t="shared" si="25"/>
        <v>0</v>
      </c>
      <c r="AA94" s="52">
        <f t="shared" si="26"/>
        <v>0</v>
      </c>
      <c r="AB94" s="15" t="e">
        <f t="shared" si="27"/>
        <v>#DIV/0!</v>
      </c>
      <c r="AC94" s="15" t="e">
        <f t="shared" si="36"/>
        <v>#DIV/0!</v>
      </c>
      <c r="AD94" s="15" t="e">
        <f t="shared" si="28"/>
        <v>#DIV/0!</v>
      </c>
      <c r="AE94" s="15" t="e">
        <f t="shared" si="29"/>
        <v>#DIV/0!</v>
      </c>
      <c r="AF94" s="15" t="e">
        <f t="shared" si="30"/>
        <v>#DIV/0!</v>
      </c>
      <c r="AG94" s="15" t="e">
        <f t="shared" si="31"/>
        <v>#DIV/0!</v>
      </c>
      <c r="AH94" s="53" t="e">
        <f t="shared" si="32"/>
        <v>#DIV/0!</v>
      </c>
      <c r="AI94" s="102" t="e">
        <f t="shared" si="37"/>
        <v>#DIV/0!</v>
      </c>
      <c r="AJ94" s="15"/>
      <c r="AK94" s="15" t="e">
        <f t="shared" si="21"/>
        <v>#DIV/0!</v>
      </c>
      <c r="AL94" s="15" t="e">
        <f t="shared" si="22"/>
        <v>#DIV/0!</v>
      </c>
      <c r="AM94" s="15">
        <f t="shared" si="38"/>
        <v>0</v>
      </c>
      <c r="AN94" s="15" t="e">
        <f t="shared" si="39"/>
        <v>#DIV/0!</v>
      </c>
    </row>
    <row r="95" spans="18:40" ht="13.8" x14ac:dyDescent="0.3">
      <c r="R95" s="51">
        <v>41.5</v>
      </c>
      <c r="S95" s="38">
        <f t="shared" si="33"/>
        <v>83</v>
      </c>
      <c r="T95" s="52">
        <f t="shared" si="23"/>
        <v>1.4486232791552935</v>
      </c>
      <c r="U95" s="52">
        <f t="shared" si="40"/>
        <v>0.6626200482157375</v>
      </c>
      <c r="V95" s="52">
        <f t="shared" si="41"/>
        <v>0.99254615164132198</v>
      </c>
      <c r="W95" s="52">
        <f t="shared" si="34"/>
        <v>0.74895572078900219</v>
      </c>
      <c r="X95" s="52">
        <f t="shared" si="35"/>
        <v>0</v>
      </c>
      <c r="Y95" s="15">
        <f t="shared" si="24"/>
        <v>0</v>
      </c>
      <c r="Z95" s="52">
        <f t="shared" si="25"/>
        <v>0</v>
      </c>
      <c r="AA95" s="52">
        <f t="shared" si="26"/>
        <v>0</v>
      </c>
      <c r="AB95" s="15" t="e">
        <f t="shared" si="27"/>
        <v>#DIV/0!</v>
      </c>
      <c r="AC95" s="15" t="e">
        <f t="shared" si="36"/>
        <v>#DIV/0!</v>
      </c>
      <c r="AD95" s="15" t="e">
        <f t="shared" si="28"/>
        <v>#DIV/0!</v>
      </c>
      <c r="AE95" s="15" t="e">
        <f t="shared" si="29"/>
        <v>#DIV/0!</v>
      </c>
      <c r="AF95" s="15" t="e">
        <f t="shared" si="30"/>
        <v>#DIV/0!</v>
      </c>
      <c r="AG95" s="15" t="e">
        <f t="shared" si="31"/>
        <v>#DIV/0!</v>
      </c>
      <c r="AH95" s="53" t="e">
        <f t="shared" si="32"/>
        <v>#DIV/0!</v>
      </c>
      <c r="AI95" s="102" t="e">
        <f t="shared" si="37"/>
        <v>#DIV/0!</v>
      </c>
      <c r="AJ95" s="15"/>
      <c r="AK95" s="15" t="e">
        <f t="shared" si="21"/>
        <v>#DIV/0!</v>
      </c>
      <c r="AL95" s="15" t="e">
        <f t="shared" si="22"/>
        <v>#DIV/0!</v>
      </c>
      <c r="AM95" s="15">
        <f t="shared" si="38"/>
        <v>0</v>
      </c>
      <c r="AN95" s="15" t="e">
        <f t="shared" si="39"/>
        <v>#DIV/0!</v>
      </c>
    </row>
    <row r="96" spans="18:40" ht="13.8" x14ac:dyDescent="0.3">
      <c r="R96" s="51">
        <v>42</v>
      </c>
      <c r="S96" s="38">
        <f t="shared" si="33"/>
        <v>84</v>
      </c>
      <c r="T96" s="52">
        <f t="shared" si="23"/>
        <v>1.4660765716752369</v>
      </c>
      <c r="U96" s="52">
        <f t="shared" si="40"/>
        <v>0.66913060635885824</v>
      </c>
      <c r="V96" s="52">
        <f t="shared" si="41"/>
        <v>0.99452189536827329</v>
      </c>
      <c r="W96" s="52">
        <f t="shared" si="34"/>
        <v>0.74314482547739424</v>
      </c>
      <c r="X96" s="52">
        <f t="shared" si="35"/>
        <v>0</v>
      </c>
      <c r="Y96" s="15">
        <f t="shared" si="24"/>
        <v>0</v>
      </c>
      <c r="Z96" s="52">
        <f t="shared" si="25"/>
        <v>0</v>
      </c>
      <c r="AA96" s="52">
        <f t="shared" si="26"/>
        <v>0</v>
      </c>
      <c r="AB96" s="15" t="e">
        <f t="shared" si="27"/>
        <v>#DIV/0!</v>
      </c>
      <c r="AC96" s="15" t="e">
        <f t="shared" si="36"/>
        <v>#DIV/0!</v>
      </c>
      <c r="AD96" s="15" t="e">
        <f t="shared" si="28"/>
        <v>#DIV/0!</v>
      </c>
      <c r="AE96" s="15" t="e">
        <f t="shared" si="29"/>
        <v>#DIV/0!</v>
      </c>
      <c r="AF96" s="15" t="e">
        <f t="shared" si="30"/>
        <v>#DIV/0!</v>
      </c>
      <c r="AG96" s="15" t="e">
        <f t="shared" si="31"/>
        <v>#DIV/0!</v>
      </c>
      <c r="AH96" s="53" t="e">
        <f t="shared" si="32"/>
        <v>#DIV/0!</v>
      </c>
      <c r="AI96" s="102" t="e">
        <f t="shared" si="37"/>
        <v>#DIV/0!</v>
      </c>
      <c r="AJ96" s="15"/>
      <c r="AK96" s="15" t="e">
        <f t="shared" si="21"/>
        <v>#DIV/0!</v>
      </c>
      <c r="AL96" s="15" t="e">
        <f t="shared" si="22"/>
        <v>#DIV/0!</v>
      </c>
      <c r="AM96" s="15">
        <f t="shared" si="38"/>
        <v>0</v>
      </c>
      <c r="AN96" s="15" t="e">
        <f t="shared" si="39"/>
        <v>#DIV/0!</v>
      </c>
    </row>
    <row r="97" spans="18:40" ht="13.8" x14ac:dyDescent="0.3">
      <c r="R97" s="51">
        <v>42.5</v>
      </c>
      <c r="S97" s="38">
        <f t="shared" si="33"/>
        <v>85</v>
      </c>
      <c r="T97" s="52">
        <f t="shared" si="23"/>
        <v>1.4835298641951802</v>
      </c>
      <c r="U97" s="52">
        <f t="shared" si="40"/>
        <v>0.67559020761566024</v>
      </c>
      <c r="V97" s="52">
        <f t="shared" si="41"/>
        <v>0.99619469809174555</v>
      </c>
      <c r="W97" s="52">
        <f t="shared" si="34"/>
        <v>0.73727733681012397</v>
      </c>
      <c r="X97" s="52">
        <f t="shared" si="35"/>
        <v>0</v>
      </c>
      <c r="Y97" s="15">
        <f t="shared" si="24"/>
        <v>0</v>
      </c>
      <c r="Z97" s="52">
        <f t="shared" si="25"/>
        <v>0</v>
      </c>
      <c r="AA97" s="52">
        <f t="shared" si="26"/>
        <v>0</v>
      </c>
      <c r="AB97" s="15" t="e">
        <f t="shared" si="27"/>
        <v>#DIV/0!</v>
      </c>
      <c r="AC97" s="15" t="e">
        <f t="shared" si="36"/>
        <v>#DIV/0!</v>
      </c>
      <c r="AD97" s="15" t="e">
        <f t="shared" si="28"/>
        <v>#DIV/0!</v>
      </c>
      <c r="AE97" s="15" t="e">
        <f t="shared" si="29"/>
        <v>#DIV/0!</v>
      </c>
      <c r="AF97" s="15" t="e">
        <f t="shared" si="30"/>
        <v>#DIV/0!</v>
      </c>
      <c r="AG97" s="15" t="e">
        <f t="shared" si="31"/>
        <v>#DIV/0!</v>
      </c>
      <c r="AH97" s="53" t="e">
        <f t="shared" si="32"/>
        <v>#DIV/0!</v>
      </c>
      <c r="AI97" s="102" t="e">
        <f t="shared" si="37"/>
        <v>#DIV/0!</v>
      </c>
      <c r="AJ97" s="15"/>
      <c r="AK97" s="15" t="e">
        <f t="shared" si="21"/>
        <v>#DIV/0!</v>
      </c>
      <c r="AL97" s="15" t="e">
        <f t="shared" si="22"/>
        <v>#DIV/0!</v>
      </c>
      <c r="AM97" s="15">
        <f t="shared" si="38"/>
        <v>0</v>
      </c>
      <c r="AN97" s="15" t="e">
        <f t="shared" si="39"/>
        <v>#DIV/0!</v>
      </c>
    </row>
    <row r="98" spans="18:40" ht="13.8" x14ac:dyDescent="0.3">
      <c r="R98" s="51">
        <v>43</v>
      </c>
      <c r="S98" s="38">
        <f t="shared" si="33"/>
        <v>86</v>
      </c>
      <c r="T98" s="52">
        <f t="shared" si="23"/>
        <v>1.5009831567151235</v>
      </c>
      <c r="U98" s="52">
        <f t="shared" si="40"/>
        <v>0.68199836006249848</v>
      </c>
      <c r="V98" s="52">
        <f t="shared" si="41"/>
        <v>0.9975640502598242</v>
      </c>
      <c r="W98" s="52">
        <f t="shared" si="34"/>
        <v>0.73135370161917046</v>
      </c>
      <c r="X98" s="52">
        <f t="shared" si="35"/>
        <v>0</v>
      </c>
      <c r="Y98" s="15">
        <f t="shared" si="24"/>
        <v>0</v>
      </c>
      <c r="Z98" s="52">
        <f t="shared" si="25"/>
        <v>0</v>
      </c>
      <c r="AA98" s="52">
        <f t="shared" si="26"/>
        <v>0</v>
      </c>
      <c r="AB98" s="15" t="e">
        <f t="shared" si="27"/>
        <v>#DIV/0!</v>
      </c>
      <c r="AC98" s="15" t="e">
        <f t="shared" si="36"/>
        <v>#DIV/0!</v>
      </c>
      <c r="AD98" s="15" t="e">
        <f t="shared" si="28"/>
        <v>#DIV/0!</v>
      </c>
      <c r="AE98" s="15" t="e">
        <f t="shared" si="29"/>
        <v>#DIV/0!</v>
      </c>
      <c r="AF98" s="15" t="e">
        <f t="shared" si="30"/>
        <v>#DIV/0!</v>
      </c>
      <c r="AG98" s="15" t="e">
        <f t="shared" si="31"/>
        <v>#DIV/0!</v>
      </c>
      <c r="AH98" s="53" t="e">
        <f t="shared" si="32"/>
        <v>#DIV/0!</v>
      </c>
      <c r="AI98" s="102" t="e">
        <f t="shared" si="37"/>
        <v>#DIV/0!</v>
      </c>
      <c r="AJ98" s="15"/>
      <c r="AK98" s="15" t="e">
        <f t="shared" si="21"/>
        <v>#DIV/0!</v>
      </c>
      <c r="AL98" s="15" t="e">
        <f t="shared" si="22"/>
        <v>#DIV/0!</v>
      </c>
      <c r="AM98" s="15">
        <f t="shared" si="38"/>
        <v>0</v>
      </c>
      <c r="AN98" s="15" t="e">
        <f t="shared" si="39"/>
        <v>#DIV/0!</v>
      </c>
    </row>
    <row r="99" spans="18:40" ht="13.8" x14ac:dyDescent="0.3">
      <c r="R99" s="51">
        <v>43.5</v>
      </c>
      <c r="S99" s="38">
        <f t="shared" si="33"/>
        <v>87</v>
      </c>
      <c r="T99" s="52">
        <f t="shared" si="23"/>
        <v>1.5184364492350666</v>
      </c>
      <c r="U99" s="52">
        <f t="shared" si="40"/>
        <v>0.68835457569375391</v>
      </c>
      <c r="V99" s="52">
        <f t="shared" si="41"/>
        <v>0.99862953475457383</v>
      </c>
      <c r="W99" s="52">
        <f t="shared" si="34"/>
        <v>0.72537437101228763</v>
      </c>
      <c r="X99" s="52">
        <f t="shared" si="35"/>
        <v>0</v>
      </c>
      <c r="Y99" s="15">
        <f t="shared" si="24"/>
        <v>0</v>
      </c>
      <c r="Z99" s="52">
        <f t="shared" si="25"/>
        <v>0</v>
      </c>
      <c r="AA99" s="52">
        <f t="shared" si="26"/>
        <v>0</v>
      </c>
      <c r="AB99" s="15" t="e">
        <f t="shared" si="27"/>
        <v>#DIV/0!</v>
      </c>
      <c r="AC99" s="15" t="e">
        <f t="shared" si="36"/>
        <v>#DIV/0!</v>
      </c>
      <c r="AD99" s="15" t="e">
        <f t="shared" si="28"/>
        <v>#DIV/0!</v>
      </c>
      <c r="AE99" s="15" t="e">
        <f t="shared" si="29"/>
        <v>#DIV/0!</v>
      </c>
      <c r="AF99" s="15" t="e">
        <f t="shared" si="30"/>
        <v>#DIV/0!</v>
      </c>
      <c r="AG99" s="15" t="e">
        <f t="shared" si="31"/>
        <v>#DIV/0!</v>
      </c>
      <c r="AH99" s="53" t="e">
        <f t="shared" si="32"/>
        <v>#DIV/0!</v>
      </c>
      <c r="AI99" s="102" t="e">
        <f t="shared" si="37"/>
        <v>#DIV/0!</v>
      </c>
      <c r="AJ99" s="15"/>
      <c r="AK99" s="15" t="e">
        <f t="shared" si="21"/>
        <v>#DIV/0!</v>
      </c>
      <c r="AL99" s="15" t="e">
        <f t="shared" si="22"/>
        <v>#DIV/0!</v>
      </c>
      <c r="AM99" s="15">
        <f t="shared" si="38"/>
        <v>0</v>
      </c>
      <c r="AN99" s="15" t="e">
        <f t="shared" si="39"/>
        <v>#DIV/0!</v>
      </c>
    </row>
    <row r="100" spans="18:40" ht="13.8" x14ac:dyDescent="0.3">
      <c r="R100" s="51">
        <v>44</v>
      </c>
      <c r="S100" s="38">
        <f t="shared" si="33"/>
        <v>88</v>
      </c>
      <c r="T100" s="52">
        <f t="shared" si="23"/>
        <v>1.5358897417550099</v>
      </c>
      <c r="U100" s="52">
        <f t="shared" si="40"/>
        <v>0.69465837045899725</v>
      </c>
      <c r="V100" s="52">
        <f t="shared" si="41"/>
        <v>0.99939082701909576</v>
      </c>
      <c r="W100" s="52">
        <f t="shared" si="34"/>
        <v>0.71933980033865119</v>
      </c>
      <c r="X100" s="52">
        <f t="shared" si="35"/>
        <v>0</v>
      </c>
      <c r="Y100" s="15">
        <f t="shared" si="24"/>
        <v>0</v>
      </c>
      <c r="Z100" s="52">
        <f t="shared" si="25"/>
        <v>0</v>
      </c>
      <c r="AA100" s="52">
        <f t="shared" si="26"/>
        <v>0</v>
      </c>
      <c r="AB100" s="15" t="e">
        <f t="shared" si="27"/>
        <v>#DIV/0!</v>
      </c>
      <c r="AC100" s="15" t="e">
        <f t="shared" si="36"/>
        <v>#DIV/0!</v>
      </c>
      <c r="AD100" s="15" t="e">
        <f t="shared" si="28"/>
        <v>#DIV/0!</v>
      </c>
      <c r="AE100" s="15" t="e">
        <f t="shared" si="29"/>
        <v>#DIV/0!</v>
      </c>
      <c r="AF100" s="15" t="e">
        <f t="shared" si="30"/>
        <v>#DIV/0!</v>
      </c>
      <c r="AG100" s="15" t="e">
        <f t="shared" si="31"/>
        <v>#DIV/0!</v>
      </c>
      <c r="AH100" s="53" t="e">
        <f t="shared" si="32"/>
        <v>#DIV/0!</v>
      </c>
      <c r="AI100" s="102" t="e">
        <f t="shared" si="37"/>
        <v>#DIV/0!</v>
      </c>
      <c r="AJ100" s="15"/>
      <c r="AK100" s="15" t="e">
        <f t="shared" si="21"/>
        <v>#DIV/0!</v>
      </c>
      <c r="AL100" s="15" t="e">
        <f t="shared" si="22"/>
        <v>#DIV/0!</v>
      </c>
      <c r="AM100" s="15">
        <f t="shared" si="38"/>
        <v>0</v>
      </c>
      <c r="AN100" s="15" t="e">
        <f t="shared" si="39"/>
        <v>#DIV/0!</v>
      </c>
    </row>
    <row r="101" spans="18:40" ht="13.8" x14ac:dyDescent="0.3">
      <c r="R101" s="51">
        <v>44.5</v>
      </c>
      <c r="S101" s="38">
        <f t="shared" si="33"/>
        <v>89</v>
      </c>
      <c r="T101" s="52">
        <f t="shared" si="23"/>
        <v>1.5533430342749532</v>
      </c>
      <c r="U101" s="52">
        <f t="shared" si="40"/>
        <v>0.7009092642998509</v>
      </c>
      <c r="V101" s="52">
        <f t="shared" si="41"/>
        <v>0.99984769515639127</v>
      </c>
      <c r="W101" s="52">
        <f t="shared" si="34"/>
        <v>0.71325044915418156</v>
      </c>
      <c r="X101" s="52">
        <f t="shared" si="35"/>
        <v>0</v>
      </c>
      <c r="Y101" s="15">
        <f t="shared" si="24"/>
        <v>0</v>
      </c>
      <c r="Z101" s="52">
        <f t="shared" si="25"/>
        <v>0</v>
      </c>
      <c r="AA101" s="52">
        <f t="shared" si="26"/>
        <v>0</v>
      </c>
      <c r="AB101" s="15" t="e">
        <f t="shared" si="27"/>
        <v>#DIV/0!</v>
      </c>
      <c r="AC101" s="15" t="e">
        <f t="shared" si="36"/>
        <v>#DIV/0!</v>
      </c>
      <c r="AD101" s="15" t="e">
        <f t="shared" si="28"/>
        <v>#DIV/0!</v>
      </c>
      <c r="AE101" s="15" t="e">
        <f t="shared" si="29"/>
        <v>#DIV/0!</v>
      </c>
      <c r="AF101" s="15" t="e">
        <f t="shared" si="30"/>
        <v>#DIV/0!</v>
      </c>
      <c r="AG101" s="15" t="e">
        <f t="shared" si="31"/>
        <v>#DIV/0!</v>
      </c>
      <c r="AH101" s="53" t="e">
        <f t="shared" si="32"/>
        <v>#DIV/0!</v>
      </c>
      <c r="AI101" s="102" t="e">
        <f t="shared" si="37"/>
        <v>#DIV/0!</v>
      </c>
      <c r="AJ101" s="15"/>
      <c r="AK101" s="15" t="e">
        <f t="shared" si="21"/>
        <v>#DIV/0!</v>
      </c>
      <c r="AL101" s="15" t="e">
        <f t="shared" si="22"/>
        <v>#DIV/0!</v>
      </c>
      <c r="AM101" s="15">
        <f t="shared" si="38"/>
        <v>0</v>
      </c>
      <c r="AN101" s="15" t="e">
        <f t="shared" si="39"/>
        <v>#DIV/0!</v>
      </c>
    </row>
    <row r="102" spans="18:40" ht="13.8" x14ac:dyDescent="0.3">
      <c r="R102" s="51">
        <v>45</v>
      </c>
      <c r="S102" s="38">
        <f t="shared" si="33"/>
        <v>90</v>
      </c>
      <c r="T102" s="52">
        <f t="shared" si="23"/>
        <v>1.5707963267948966</v>
      </c>
      <c r="U102" s="52">
        <f t="shared" si="40"/>
        <v>0.70710678118654746</v>
      </c>
      <c r="V102" s="52">
        <f t="shared" si="41"/>
        <v>1</v>
      </c>
      <c r="W102" s="52">
        <f t="shared" si="34"/>
        <v>0.70710678118654757</v>
      </c>
      <c r="X102" s="52">
        <f t="shared" si="35"/>
        <v>0</v>
      </c>
      <c r="Y102" s="15">
        <f t="shared" si="24"/>
        <v>0</v>
      </c>
      <c r="Z102" s="52">
        <f t="shared" si="25"/>
        <v>0</v>
      </c>
      <c r="AA102" s="52">
        <f t="shared" si="26"/>
        <v>0</v>
      </c>
      <c r="AB102" s="15" t="e">
        <f t="shared" si="27"/>
        <v>#DIV/0!</v>
      </c>
      <c r="AC102" s="15" t="e">
        <f t="shared" si="36"/>
        <v>#DIV/0!</v>
      </c>
      <c r="AD102" s="15" t="e">
        <f t="shared" si="28"/>
        <v>#DIV/0!</v>
      </c>
      <c r="AE102" s="15" t="e">
        <f t="shared" si="29"/>
        <v>#DIV/0!</v>
      </c>
      <c r="AF102" s="15" t="e">
        <f t="shared" si="30"/>
        <v>#DIV/0!</v>
      </c>
      <c r="AG102" s="15" t="e">
        <f t="shared" si="31"/>
        <v>#DIV/0!</v>
      </c>
      <c r="AH102" s="53" t="e">
        <f t="shared" si="32"/>
        <v>#DIV/0!</v>
      </c>
      <c r="AI102" s="102" t="e">
        <f t="shared" si="37"/>
        <v>#DIV/0!</v>
      </c>
      <c r="AJ102" s="15"/>
      <c r="AK102" s="15" t="e">
        <f t="shared" ref="AK102:AK165" si="42">AH102</f>
        <v>#DIV/0!</v>
      </c>
      <c r="AL102" s="15" t="e">
        <f t="shared" ref="AL102:AL165" si="43">AB102</f>
        <v>#DIV/0!</v>
      </c>
      <c r="AM102" s="15">
        <f t="shared" si="38"/>
        <v>0</v>
      </c>
      <c r="AN102" s="15" t="e">
        <f t="shared" si="39"/>
        <v>#DIV/0!</v>
      </c>
    </row>
    <row r="103" spans="18:40" ht="13.8" x14ac:dyDescent="0.3">
      <c r="R103" s="51">
        <v>45.5</v>
      </c>
      <c r="S103" s="38">
        <f t="shared" si="33"/>
        <v>91</v>
      </c>
      <c r="T103" s="52">
        <f t="shared" si="23"/>
        <v>1.5882496193148399</v>
      </c>
      <c r="U103" s="52">
        <f t="shared" si="40"/>
        <v>0.71325044915418156</v>
      </c>
      <c r="V103" s="52">
        <f t="shared" si="41"/>
        <v>0.99984769515639127</v>
      </c>
      <c r="W103" s="52">
        <f t="shared" si="34"/>
        <v>0.7009092642998509</v>
      </c>
      <c r="X103" s="52">
        <f t="shared" si="35"/>
        <v>0</v>
      </c>
      <c r="Y103" s="15">
        <f t="shared" si="24"/>
        <v>0</v>
      </c>
      <c r="Z103" s="52">
        <f t="shared" si="25"/>
        <v>0</v>
      </c>
      <c r="AA103" s="52">
        <f t="shared" si="26"/>
        <v>0</v>
      </c>
      <c r="AB103" s="15" t="e">
        <f t="shared" si="27"/>
        <v>#DIV/0!</v>
      </c>
      <c r="AC103" s="15" t="e">
        <f t="shared" si="36"/>
        <v>#DIV/0!</v>
      </c>
      <c r="AD103" s="15" t="e">
        <f t="shared" si="28"/>
        <v>#DIV/0!</v>
      </c>
      <c r="AE103" s="15" t="e">
        <f t="shared" si="29"/>
        <v>#DIV/0!</v>
      </c>
      <c r="AF103" s="15" t="e">
        <f t="shared" si="30"/>
        <v>#DIV/0!</v>
      </c>
      <c r="AG103" s="15" t="e">
        <f t="shared" si="31"/>
        <v>#DIV/0!</v>
      </c>
      <c r="AH103" s="53" t="e">
        <f t="shared" si="32"/>
        <v>#DIV/0!</v>
      </c>
      <c r="AI103" s="102" t="e">
        <f t="shared" si="37"/>
        <v>#DIV/0!</v>
      </c>
      <c r="AJ103" s="15"/>
      <c r="AK103" s="15" t="e">
        <f t="shared" si="42"/>
        <v>#DIV/0!</v>
      </c>
      <c r="AL103" s="15" t="e">
        <f t="shared" si="43"/>
        <v>#DIV/0!</v>
      </c>
      <c r="AM103" s="15">
        <f t="shared" si="38"/>
        <v>0</v>
      </c>
      <c r="AN103" s="15" t="e">
        <f t="shared" si="39"/>
        <v>#DIV/0!</v>
      </c>
    </row>
    <row r="104" spans="18:40" ht="13.8" x14ac:dyDescent="0.3">
      <c r="R104" s="51">
        <v>46</v>
      </c>
      <c r="S104" s="38">
        <f t="shared" si="33"/>
        <v>92</v>
      </c>
      <c r="T104" s="52">
        <f t="shared" si="23"/>
        <v>1.6057029118347832</v>
      </c>
      <c r="U104" s="52">
        <f t="shared" si="40"/>
        <v>0.71933980033865108</v>
      </c>
      <c r="V104" s="52">
        <f t="shared" si="41"/>
        <v>0.99939082701909576</v>
      </c>
      <c r="W104" s="52">
        <f t="shared" si="34"/>
        <v>0.69465837045899725</v>
      </c>
      <c r="X104" s="52">
        <f t="shared" si="35"/>
        <v>0</v>
      </c>
      <c r="Y104" s="15">
        <f t="shared" si="24"/>
        <v>0</v>
      </c>
      <c r="Z104" s="52">
        <f t="shared" si="25"/>
        <v>0</v>
      </c>
      <c r="AA104" s="52">
        <f t="shared" si="26"/>
        <v>0</v>
      </c>
      <c r="AB104" s="15" t="e">
        <f t="shared" si="27"/>
        <v>#DIV/0!</v>
      </c>
      <c r="AC104" s="15" t="e">
        <f t="shared" si="36"/>
        <v>#DIV/0!</v>
      </c>
      <c r="AD104" s="15" t="e">
        <f t="shared" si="28"/>
        <v>#DIV/0!</v>
      </c>
      <c r="AE104" s="15" t="e">
        <f t="shared" si="29"/>
        <v>#DIV/0!</v>
      </c>
      <c r="AF104" s="15" t="e">
        <f t="shared" si="30"/>
        <v>#DIV/0!</v>
      </c>
      <c r="AG104" s="15" t="e">
        <f t="shared" si="31"/>
        <v>#DIV/0!</v>
      </c>
      <c r="AH104" s="53" t="e">
        <f t="shared" si="32"/>
        <v>#DIV/0!</v>
      </c>
      <c r="AI104" s="102" t="e">
        <f t="shared" si="37"/>
        <v>#DIV/0!</v>
      </c>
      <c r="AJ104" s="15"/>
      <c r="AK104" s="15" t="e">
        <f t="shared" si="42"/>
        <v>#DIV/0!</v>
      </c>
      <c r="AL104" s="15" t="e">
        <f t="shared" si="43"/>
        <v>#DIV/0!</v>
      </c>
      <c r="AM104" s="15">
        <f t="shared" si="38"/>
        <v>0</v>
      </c>
      <c r="AN104" s="15" t="e">
        <f t="shared" si="39"/>
        <v>#DIV/0!</v>
      </c>
    </row>
    <row r="105" spans="18:40" ht="13.8" x14ac:dyDescent="0.3">
      <c r="R105" s="51">
        <v>46.5</v>
      </c>
      <c r="S105" s="38">
        <f t="shared" si="33"/>
        <v>93</v>
      </c>
      <c r="T105" s="52">
        <f t="shared" si="23"/>
        <v>1.6231562043547265</v>
      </c>
      <c r="U105" s="52">
        <f t="shared" si="40"/>
        <v>0.72537437101228763</v>
      </c>
      <c r="V105" s="52">
        <f t="shared" si="41"/>
        <v>0.99862953475457383</v>
      </c>
      <c r="W105" s="52">
        <f t="shared" si="34"/>
        <v>0.68835457569375402</v>
      </c>
      <c r="X105" s="52">
        <f t="shared" si="35"/>
        <v>0</v>
      </c>
      <c r="Y105" s="15">
        <f t="shared" si="24"/>
        <v>0</v>
      </c>
      <c r="Z105" s="52">
        <f t="shared" si="25"/>
        <v>0</v>
      </c>
      <c r="AA105" s="52">
        <f t="shared" si="26"/>
        <v>0</v>
      </c>
      <c r="AB105" s="15" t="e">
        <f t="shared" si="27"/>
        <v>#DIV/0!</v>
      </c>
      <c r="AC105" s="15" t="e">
        <f t="shared" si="36"/>
        <v>#DIV/0!</v>
      </c>
      <c r="AD105" s="15" t="e">
        <f t="shared" si="28"/>
        <v>#DIV/0!</v>
      </c>
      <c r="AE105" s="15" t="e">
        <f t="shared" si="29"/>
        <v>#DIV/0!</v>
      </c>
      <c r="AF105" s="15" t="e">
        <f t="shared" si="30"/>
        <v>#DIV/0!</v>
      </c>
      <c r="AG105" s="15" t="e">
        <f t="shared" si="31"/>
        <v>#DIV/0!</v>
      </c>
      <c r="AH105" s="53" t="e">
        <f t="shared" si="32"/>
        <v>#DIV/0!</v>
      </c>
      <c r="AI105" s="102" t="e">
        <f t="shared" si="37"/>
        <v>#DIV/0!</v>
      </c>
      <c r="AJ105" s="15"/>
      <c r="AK105" s="15" t="e">
        <f t="shared" si="42"/>
        <v>#DIV/0!</v>
      </c>
      <c r="AL105" s="15" t="e">
        <f t="shared" si="43"/>
        <v>#DIV/0!</v>
      </c>
      <c r="AM105" s="15">
        <f t="shared" si="38"/>
        <v>0</v>
      </c>
      <c r="AN105" s="15" t="e">
        <f t="shared" si="39"/>
        <v>#DIV/0!</v>
      </c>
    </row>
    <row r="106" spans="18:40" ht="13.8" x14ac:dyDescent="0.3">
      <c r="R106" s="51">
        <v>47</v>
      </c>
      <c r="S106" s="38">
        <f t="shared" si="33"/>
        <v>94</v>
      </c>
      <c r="T106" s="52">
        <f t="shared" si="23"/>
        <v>1.6406094968746698</v>
      </c>
      <c r="U106" s="52">
        <f t="shared" si="40"/>
        <v>0.73135370161917046</v>
      </c>
      <c r="V106" s="52">
        <f t="shared" si="41"/>
        <v>0.9975640502598242</v>
      </c>
      <c r="W106" s="52">
        <f t="shared" si="34"/>
        <v>0.68199836006249848</v>
      </c>
      <c r="X106" s="52">
        <f t="shared" si="35"/>
        <v>0</v>
      </c>
      <c r="Y106" s="15">
        <f t="shared" si="24"/>
        <v>0</v>
      </c>
      <c r="Z106" s="52">
        <f t="shared" si="25"/>
        <v>0</v>
      </c>
      <c r="AA106" s="52">
        <f t="shared" si="26"/>
        <v>0</v>
      </c>
      <c r="AB106" s="15" t="e">
        <f t="shared" si="27"/>
        <v>#DIV/0!</v>
      </c>
      <c r="AC106" s="15" t="e">
        <f t="shared" si="36"/>
        <v>#DIV/0!</v>
      </c>
      <c r="AD106" s="15" t="e">
        <f t="shared" si="28"/>
        <v>#DIV/0!</v>
      </c>
      <c r="AE106" s="15" t="e">
        <f t="shared" si="29"/>
        <v>#DIV/0!</v>
      </c>
      <c r="AF106" s="15" t="e">
        <f t="shared" si="30"/>
        <v>#DIV/0!</v>
      </c>
      <c r="AG106" s="15" t="e">
        <f t="shared" si="31"/>
        <v>#DIV/0!</v>
      </c>
      <c r="AH106" s="53" t="e">
        <f t="shared" si="32"/>
        <v>#DIV/0!</v>
      </c>
      <c r="AI106" s="102" t="e">
        <f t="shared" si="37"/>
        <v>#DIV/0!</v>
      </c>
      <c r="AJ106" s="15"/>
      <c r="AK106" s="15" t="e">
        <f t="shared" si="42"/>
        <v>#DIV/0!</v>
      </c>
      <c r="AL106" s="15" t="e">
        <f t="shared" si="43"/>
        <v>#DIV/0!</v>
      </c>
      <c r="AM106" s="15">
        <f t="shared" si="38"/>
        <v>0</v>
      </c>
      <c r="AN106" s="15" t="e">
        <f t="shared" si="39"/>
        <v>#DIV/0!</v>
      </c>
    </row>
    <row r="107" spans="18:40" ht="13.8" x14ac:dyDescent="0.3">
      <c r="R107" s="51">
        <v>47.5</v>
      </c>
      <c r="S107" s="38">
        <f t="shared" si="33"/>
        <v>95</v>
      </c>
      <c r="T107" s="52">
        <f t="shared" si="23"/>
        <v>1.6580627893946132</v>
      </c>
      <c r="U107" s="52">
        <f t="shared" si="40"/>
        <v>0.73727733681012408</v>
      </c>
      <c r="V107" s="52">
        <f t="shared" si="41"/>
        <v>0.99619469809174555</v>
      </c>
      <c r="W107" s="52">
        <f t="shared" si="34"/>
        <v>0.67559020761566024</v>
      </c>
      <c r="X107" s="52">
        <f t="shared" si="35"/>
        <v>0</v>
      </c>
      <c r="Y107" s="15">
        <f t="shared" si="24"/>
        <v>0</v>
      </c>
      <c r="Z107" s="52">
        <f t="shared" si="25"/>
        <v>0</v>
      </c>
      <c r="AA107" s="52">
        <f t="shared" si="26"/>
        <v>0</v>
      </c>
      <c r="AB107" s="15" t="e">
        <f t="shared" si="27"/>
        <v>#DIV/0!</v>
      </c>
      <c r="AC107" s="15" t="e">
        <f t="shared" si="36"/>
        <v>#DIV/0!</v>
      </c>
      <c r="AD107" s="15" t="e">
        <f t="shared" si="28"/>
        <v>#DIV/0!</v>
      </c>
      <c r="AE107" s="15" t="e">
        <f t="shared" si="29"/>
        <v>#DIV/0!</v>
      </c>
      <c r="AF107" s="15" t="e">
        <f t="shared" si="30"/>
        <v>#DIV/0!</v>
      </c>
      <c r="AG107" s="15" t="e">
        <f t="shared" si="31"/>
        <v>#DIV/0!</v>
      </c>
      <c r="AH107" s="53" t="e">
        <f t="shared" si="32"/>
        <v>#DIV/0!</v>
      </c>
      <c r="AI107" s="102" t="e">
        <f t="shared" si="37"/>
        <v>#DIV/0!</v>
      </c>
      <c r="AJ107" s="15"/>
      <c r="AK107" s="15" t="e">
        <f t="shared" si="42"/>
        <v>#DIV/0!</v>
      </c>
      <c r="AL107" s="15" t="e">
        <f t="shared" si="43"/>
        <v>#DIV/0!</v>
      </c>
      <c r="AM107" s="15">
        <f t="shared" si="38"/>
        <v>0</v>
      </c>
      <c r="AN107" s="15" t="e">
        <f t="shared" si="39"/>
        <v>#DIV/0!</v>
      </c>
    </row>
    <row r="108" spans="18:40" ht="13.8" x14ac:dyDescent="0.3">
      <c r="R108" s="51">
        <v>48</v>
      </c>
      <c r="S108" s="38">
        <f t="shared" si="33"/>
        <v>96</v>
      </c>
      <c r="T108" s="52">
        <f t="shared" si="23"/>
        <v>1.6755160819145565</v>
      </c>
      <c r="U108" s="52">
        <f t="shared" si="40"/>
        <v>0.74314482547739424</v>
      </c>
      <c r="V108" s="52">
        <f t="shared" si="41"/>
        <v>0.99452189536827329</v>
      </c>
      <c r="W108" s="52">
        <f t="shared" si="34"/>
        <v>0.66913060635885824</v>
      </c>
      <c r="X108" s="52">
        <f t="shared" si="35"/>
        <v>0</v>
      </c>
      <c r="Y108" s="15">
        <f t="shared" si="24"/>
        <v>0</v>
      </c>
      <c r="Z108" s="52">
        <f t="shared" si="25"/>
        <v>0</v>
      </c>
      <c r="AA108" s="52">
        <f t="shared" si="26"/>
        <v>0</v>
      </c>
      <c r="AB108" s="15" t="e">
        <f t="shared" si="27"/>
        <v>#DIV/0!</v>
      </c>
      <c r="AC108" s="15" t="e">
        <f t="shared" si="36"/>
        <v>#DIV/0!</v>
      </c>
      <c r="AD108" s="15" t="e">
        <f t="shared" si="28"/>
        <v>#DIV/0!</v>
      </c>
      <c r="AE108" s="15" t="e">
        <f t="shared" si="29"/>
        <v>#DIV/0!</v>
      </c>
      <c r="AF108" s="15" t="e">
        <f t="shared" si="30"/>
        <v>#DIV/0!</v>
      </c>
      <c r="AG108" s="15" t="e">
        <f t="shared" si="31"/>
        <v>#DIV/0!</v>
      </c>
      <c r="AH108" s="53" t="e">
        <f t="shared" si="32"/>
        <v>#DIV/0!</v>
      </c>
      <c r="AI108" s="102" t="e">
        <f t="shared" si="37"/>
        <v>#DIV/0!</v>
      </c>
      <c r="AJ108" s="15"/>
      <c r="AK108" s="15" t="e">
        <f t="shared" si="42"/>
        <v>#DIV/0!</v>
      </c>
      <c r="AL108" s="15" t="e">
        <f t="shared" si="43"/>
        <v>#DIV/0!</v>
      </c>
      <c r="AM108" s="15">
        <f t="shared" si="38"/>
        <v>0</v>
      </c>
      <c r="AN108" s="15" t="e">
        <f t="shared" si="39"/>
        <v>#DIV/0!</v>
      </c>
    </row>
    <row r="109" spans="18:40" ht="13.8" x14ac:dyDescent="0.3">
      <c r="R109" s="51">
        <v>48.5</v>
      </c>
      <c r="S109" s="38">
        <f t="shared" si="33"/>
        <v>97</v>
      </c>
      <c r="T109" s="52">
        <f t="shared" si="23"/>
        <v>1.6929693744344996</v>
      </c>
      <c r="U109" s="52">
        <f t="shared" si="40"/>
        <v>0.74895572078900208</v>
      </c>
      <c r="V109" s="52">
        <f t="shared" si="41"/>
        <v>0.99254615164132209</v>
      </c>
      <c r="W109" s="52">
        <f t="shared" si="34"/>
        <v>0.6626200482157375</v>
      </c>
      <c r="X109" s="52">
        <f t="shared" si="35"/>
        <v>0</v>
      </c>
      <c r="Y109" s="15">
        <f t="shared" si="24"/>
        <v>0</v>
      </c>
      <c r="Z109" s="52">
        <f t="shared" si="25"/>
        <v>0</v>
      </c>
      <c r="AA109" s="52">
        <f t="shared" si="26"/>
        <v>0</v>
      </c>
      <c r="AB109" s="15" t="e">
        <f t="shared" si="27"/>
        <v>#DIV/0!</v>
      </c>
      <c r="AC109" s="15" t="e">
        <f t="shared" si="36"/>
        <v>#DIV/0!</v>
      </c>
      <c r="AD109" s="15" t="e">
        <f t="shared" si="28"/>
        <v>#DIV/0!</v>
      </c>
      <c r="AE109" s="15" t="e">
        <f t="shared" si="29"/>
        <v>#DIV/0!</v>
      </c>
      <c r="AF109" s="15" t="e">
        <f t="shared" si="30"/>
        <v>#DIV/0!</v>
      </c>
      <c r="AG109" s="15" t="e">
        <f t="shared" si="31"/>
        <v>#DIV/0!</v>
      </c>
      <c r="AH109" s="53" t="e">
        <f t="shared" si="32"/>
        <v>#DIV/0!</v>
      </c>
      <c r="AI109" s="102" t="e">
        <f t="shared" si="37"/>
        <v>#DIV/0!</v>
      </c>
      <c r="AJ109" s="15"/>
      <c r="AK109" s="15" t="e">
        <f t="shared" si="42"/>
        <v>#DIV/0!</v>
      </c>
      <c r="AL109" s="15" t="e">
        <f t="shared" si="43"/>
        <v>#DIV/0!</v>
      </c>
      <c r="AM109" s="15">
        <f t="shared" si="38"/>
        <v>0</v>
      </c>
      <c r="AN109" s="15" t="e">
        <f t="shared" si="39"/>
        <v>#DIV/0!</v>
      </c>
    </row>
    <row r="110" spans="18:40" ht="13.8" x14ac:dyDescent="0.3">
      <c r="R110" s="51">
        <v>49</v>
      </c>
      <c r="S110" s="38">
        <f t="shared" si="33"/>
        <v>98</v>
      </c>
      <c r="T110" s="52">
        <f t="shared" si="23"/>
        <v>1.7104226669544429</v>
      </c>
      <c r="U110" s="52">
        <f t="shared" si="40"/>
        <v>0.75470958022277201</v>
      </c>
      <c r="V110" s="52">
        <f t="shared" si="41"/>
        <v>0.99026806874157036</v>
      </c>
      <c r="W110" s="52">
        <f t="shared" si="34"/>
        <v>0.65605902899050728</v>
      </c>
      <c r="X110" s="52">
        <f t="shared" si="35"/>
        <v>0</v>
      </c>
      <c r="Y110" s="15">
        <f t="shared" si="24"/>
        <v>0</v>
      </c>
      <c r="Z110" s="52">
        <f t="shared" si="25"/>
        <v>0</v>
      </c>
      <c r="AA110" s="52">
        <f t="shared" si="26"/>
        <v>0</v>
      </c>
      <c r="AB110" s="15" t="e">
        <f t="shared" si="27"/>
        <v>#DIV/0!</v>
      </c>
      <c r="AC110" s="15" t="e">
        <f t="shared" si="36"/>
        <v>#DIV/0!</v>
      </c>
      <c r="AD110" s="15" t="e">
        <f t="shared" si="28"/>
        <v>#DIV/0!</v>
      </c>
      <c r="AE110" s="15" t="e">
        <f t="shared" si="29"/>
        <v>#DIV/0!</v>
      </c>
      <c r="AF110" s="15" t="e">
        <f t="shared" si="30"/>
        <v>#DIV/0!</v>
      </c>
      <c r="AG110" s="15" t="e">
        <f t="shared" si="31"/>
        <v>#DIV/0!</v>
      </c>
      <c r="AH110" s="53" t="e">
        <f t="shared" si="32"/>
        <v>#DIV/0!</v>
      </c>
      <c r="AI110" s="102" t="e">
        <f t="shared" si="37"/>
        <v>#DIV/0!</v>
      </c>
      <c r="AJ110" s="15"/>
      <c r="AK110" s="15" t="e">
        <f t="shared" si="42"/>
        <v>#DIV/0!</v>
      </c>
      <c r="AL110" s="15" t="e">
        <f t="shared" si="43"/>
        <v>#DIV/0!</v>
      </c>
      <c r="AM110" s="15">
        <f t="shared" si="38"/>
        <v>0</v>
      </c>
      <c r="AN110" s="15" t="e">
        <f t="shared" si="39"/>
        <v>#DIV/0!</v>
      </c>
    </row>
    <row r="111" spans="18:40" ht="13.8" x14ac:dyDescent="0.3">
      <c r="R111" s="51">
        <v>49.5</v>
      </c>
      <c r="S111" s="38">
        <f t="shared" si="33"/>
        <v>99</v>
      </c>
      <c r="T111" s="52">
        <f t="shared" si="23"/>
        <v>1.7278759594743862</v>
      </c>
      <c r="U111" s="52">
        <f t="shared" si="40"/>
        <v>0.76040596560003093</v>
      </c>
      <c r="V111" s="52">
        <f t="shared" si="41"/>
        <v>0.98768834059513777</v>
      </c>
      <c r="W111" s="52">
        <f t="shared" si="34"/>
        <v>0.64944804833018366</v>
      </c>
      <c r="X111" s="52">
        <f t="shared" si="35"/>
        <v>0</v>
      </c>
      <c r="Y111" s="15">
        <f t="shared" si="24"/>
        <v>0</v>
      </c>
      <c r="Z111" s="52">
        <f t="shared" si="25"/>
        <v>0</v>
      </c>
      <c r="AA111" s="52">
        <f t="shared" si="26"/>
        <v>0</v>
      </c>
      <c r="AB111" s="15" t="e">
        <f t="shared" si="27"/>
        <v>#DIV/0!</v>
      </c>
      <c r="AC111" s="15" t="e">
        <f t="shared" si="36"/>
        <v>#DIV/0!</v>
      </c>
      <c r="AD111" s="15" t="e">
        <f t="shared" si="28"/>
        <v>#DIV/0!</v>
      </c>
      <c r="AE111" s="15" t="e">
        <f t="shared" si="29"/>
        <v>#DIV/0!</v>
      </c>
      <c r="AF111" s="15" t="e">
        <f t="shared" si="30"/>
        <v>#DIV/0!</v>
      </c>
      <c r="AG111" s="15" t="e">
        <f t="shared" si="31"/>
        <v>#DIV/0!</v>
      </c>
      <c r="AH111" s="53" t="e">
        <f t="shared" si="32"/>
        <v>#DIV/0!</v>
      </c>
      <c r="AI111" s="102" t="e">
        <f t="shared" si="37"/>
        <v>#DIV/0!</v>
      </c>
      <c r="AJ111" s="15"/>
      <c r="AK111" s="15" t="e">
        <f t="shared" si="42"/>
        <v>#DIV/0!</v>
      </c>
      <c r="AL111" s="15" t="e">
        <f t="shared" si="43"/>
        <v>#DIV/0!</v>
      </c>
      <c r="AM111" s="15">
        <f t="shared" si="38"/>
        <v>0</v>
      </c>
      <c r="AN111" s="15" t="e">
        <f t="shared" si="39"/>
        <v>#DIV/0!</v>
      </c>
    </row>
    <row r="112" spans="18:40" ht="13.8" x14ac:dyDescent="0.3">
      <c r="R112" s="51">
        <v>50</v>
      </c>
      <c r="S112" s="38">
        <f t="shared" si="33"/>
        <v>100</v>
      </c>
      <c r="T112" s="52">
        <f t="shared" si="23"/>
        <v>1.7453292519943295</v>
      </c>
      <c r="U112" s="52">
        <f t="shared" si="40"/>
        <v>0.76604444311897801</v>
      </c>
      <c r="V112" s="52">
        <f t="shared" si="41"/>
        <v>0.98480775301220802</v>
      </c>
      <c r="W112" s="52">
        <f t="shared" si="34"/>
        <v>0.64278760968653936</v>
      </c>
      <c r="X112" s="52">
        <f t="shared" si="35"/>
        <v>0</v>
      </c>
      <c r="Y112" s="15">
        <f t="shared" si="24"/>
        <v>0</v>
      </c>
      <c r="Z112" s="52">
        <f t="shared" si="25"/>
        <v>0</v>
      </c>
      <c r="AA112" s="52">
        <f t="shared" si="26"/>
        <v>0</v>
      </c>
      <c r="AB112" s="15" t="e">
        <f t="shared" si="27"/>
        <v>#DIV/0!</v>
      </c>
      <c r="AC112" s="15" t="e">
        <f t="shared" si="36"/>
        <v>#DIV/0!</v>
      </c>
      <c r="AD112" s="15" t="e">
        <f t="shared" si="28"/>
        <v>#DIV/0!</v>
      </c>
      <c r="AE112" s="15" t="e">
        <f t="shared" si="29"/>
        <v>#DIV/0!</v>
      </c>
      <c r="AF112" s="15" t="e">
        <f t="shared" si="30"/>
        <v>#DIV/0!</v>
      </c>
      <c r="AG112" s="15" t="e">
        <f t="shared" si="31"/>
        <v>#DIV/0!</v>
      </c>
      <c r="AH112" s="53" t="e">
        <f t="shared" si="32"/>
        <v>#DIV/0!</v>
      </c>
      <c r="AI112" s="102" t="e">
        <f t="shared" si="37"/>
        <v>#DIV/0!</v>
      </c>
      <c r="AJ112" s="15"/>
      <c r="AK112" s="15" t="e">
        <f t="shared" si="42"/>
        <v>#DIV/0!</v>
      </c>
      <c r="AL112" s="15" t="e">
        <f t="shared" si="43"/>
        <v>#DIV/0!</v>
      </c>
      <c r="AM112" s="15">
        <f t="shared" si="38"/>
        <v>0</v>
      </c>
      <c r="AN112" s="15" t="e">
        <f t="shared" si="39"/>
        <v>#DIV/0!</v>
      </c>
    </row>
    <row r="113" spans="18:40" ht="13.8" x14ac:dyDescent="0.3">
      <c r="R113" s="51">
        <v>50.5</v>
      </c>
      <c r="S113" s="38">
        <f t="shared" si="33"/>
        <v>101</v>
      </c>
      <c r="T113" s="52">
        <f t="shared" si="23"/>
        <v>1.7627825445142729</v>
      </c>
      <c r="U113" s="52">
        <f t="shared" si="40"/>
        <v>0.77162458338772</v>
      </c>
      <c r="V113" s="52">
        <f t="shared" si="41"/>
        <v>0.98162718344766398</v>
      </c>
      <c r="W113" s="52">
        <f t="shared" si="34"/>
        <v>0.63607822027776395</v>
      </c>
      <c r="X113" s="52">
        <f t="shared" si="35"/>
        <v>0</v>
      </c>
      <c r="Y113" s="15">
        <f t="shared" si="24"/>
        <v>0</v>
      </c>
      <c r="Z113" s="52">
        <f t="shared" si="25"/>
        <v>0</v>
      </c>
      <c r="AA113" s="52">
        <f t="shared" si="26"/>
        <v>0</v>
      </c>
      <c r="AB113" s="15" t="e">
        <f t="shared" si="27"/>
        <v>#DIV/0!</v>
      </c>
      <c r="AC113" s="15" t="e">
        <f t="shared" si="36"/>
        <v>#DIV/0!</v>
      </c>
      <c r="AD113" s="15" t="e">
        <f t="shared" si="28"/>
        <v>#DIV/0!</v>
      </c>
      <c r="AE113" s="15" t="e">
        <f t="shared" si="29"/>
        <v>#DIV/0!</v>
      </c>
      <c r="AF113" s="15" t="e">
        <f t="shared" si="30"/>
        <v>#DIV/0!</v>
      </c>
      <c r="AG113" s="15" t="e">
        <f t="shared" si="31"/>
        <v>#DIV/0!</v>
      </c>
      <c r="AH113" s="53" t="e">
        <f t="shared" si="32"/>
        <v>#DIV/0!</v>
      </c>
      <c r="AI113" s="102" t="e">
        <f t="shared" si="37"/>
        <v>#DIV/0!</v>
      </c>
      <c r="AJ113" s="15"/>
      <c r="AK113" s="15" t="e">
        <f t="shared" si="42"/>
        <v>#DIV/0!</v>
      </c>
      <c r="AL113" s="15" t="e">
        <f t="shared" si="43"/>
        <v>#DIV/0!</v>
      </c>
      <c r="AM113" s="15">
        <f t="shared" si="38"/>
        <v>0</v>
      </c>
      <c r="AN113" s="15" t="e">
        <f t="shared" si="39"/>
        <v>#DIV/0!</v>
      </c>
    </row>
    <row r="114" spans="18:40" ht="13.8" x14ac:dyDescent="0.3">
      <c r="R114" s="51">
        <v>51</v>
      </c>
      <c r="S114" s="38">
        <f t="shared" si="33"/>
        <v>102</v>
      </c>
      <c r="T114" s="52">
        <f t="shared" si="23"/>
        <v>1.7802358370342162</v>
      </c>
      <c r="U114" s="52">
        <f t="shared" si="40"/>
        <v>0.7771459614569709</v>
      </c>
      <c r="V114" s="52">
        <f t="shared" si="41"/>
        <v>0.97814760073380569</v>
      </c>
      <c r="W114" s="52">
        <f t="shared" si="34"/>
        <v>0.6293203910498375</v>
      </c>
      <c r="X114" s="52">
        <f t="shared" si="35"/>
        <v>0</v>
      </c>
      <c r="Y114" s="15">
        <f t="shared" si="24"/>
        <v>0</v>
      </c>
      <c r="Z114" s="52">
        <f t="shared" si="25"/>
        <v>0</v>
      </c>
      <c r="AA114" s="52">
        <f t="shared" si="26"/>
        <v>0</v>
      </c>
      <c r="AB114" s="15" t="e">
        <f t="shared" si="27"/>
        <v>#DIV/0!</v>
      </c>
      <c r="AC114" s="15" t="e">
        <f t="shared" si="36"/>
        <v>#DIV/0!</v>
      </c>
      <c r="AD114" s="15" t="e">
        <f t="shared" si="28"/>
        <v>#DIV/0!</v>
      </c>
      <c r="AE114" s="15" t="e">
        <f t="shared" si="29"/>
        <v>#DIV/0!</v>
      </c>
      <c r="AF114" s="15" t="e">
        <f t="shared" si="30"/>
        <v>#DIV/0!</v>
      </c>
      <c r="AG114" s="15" t="e">
        <f t="shared" si="31"/>
        <v>#DIV/0!</v>
      </c>
      <c r="AH114" s="53" t="e">
        <f t="shared" si="32"/>
        <v>#DIV/0!</v>
      </c>
      <c r="AI114" s="102" t="e">
        <f t="shared" si="37"/>
        <v>#DIV/0!</v>
      </c>
      <c r="AJ114" s="15"/>
      <c r="AK114" s="15" t="e">
        <f t="shared" si="42"/>
        <v>#DIV/0!</v>
      </c>
      <c r="AL114" s="15" t="e">
        <f t="shared" si="43"/>
        <v>#DIV/0!</v>
      </c>
      <c r="AM114" s="15">
        <f t="shared" si="38"/>
        <v>0</v>
      </c>
      <c r="AN114" s="15" t="e">
        <f t="shared" si="39"/>
        <v>#DIV/0!</v>
      </c>
    </row>
    <row r="115" spans="18:40" ht="13.8" x14ac:dyDescent="0.3">
      <c r="R115" s="51">
        <v>51.5</v>
      </c>
      <c r="S115" s="38">
        <f t="shared" si="33"/>
        <v>103</v>
      </c>
      <c r="T115" s="52">
        <f t="shared" si="23"/>
        <v>1.7976891295541595</v>
      </c>
      <c r="U115" s="52">
        <f t="shared" si="40"/>
        <v>0.78260815685241392</v>
      </c>
      <c r="V115" s="52">
        <f t="shared" si="41"/>
        <v>0.97437006478523525</v>
      </c>
      <c r="W115" s="52">
        <f t="shared" si="34"/>
        <v>0.62251463663761952</v>
      </c>
      <c r="X115" s="52">
        <f t="shared" si="35"/>
        <v>0</v>
      </c>
      <c r="Y115" s="15">
        <f t="shared" si="24"/>
        <v>0</v>
      </c>
      <c r="Z115" s="52">
        <f t="shared" si="25"/>
        <v>0</v>
      </c>
      <c r="AA115" s="52">
        <f t="shared" si="26"/>
        <v>0</v>
      </c>
      <c r="AB115" s="15" t="e">
        <f t="shared" si="27"/>
        <v>#DIV/0!</v>
      </c>
      <c r="AC115" s="15" t="e">
        <f t="shared" si="36"/>
        <v>#DIV/0!</v>
      </c>
      <c r="AD115" s="15" t="e">
        <f t="shared" si="28"/>
        <v>#DIV/0!</v>
      </c>
      <c r="AE115" s="15" t="e">
        <f t="shared" si="29"/>
        <v>#DIV/0!</v>
      </c>
      <c r="AF115" s="15" t="e">
        <f t="shared" si="30"/>
        <v>#DIV/0!</v>
      </c>
      <c r="AG115" s="15" t="e">
        <f t="shared" si="31"/>
        <v>#DIV/0!</v>
      </c>
      <c r="AH115" s="53" t="e">
        <f t="shared" si="32"/>
        <v>#DIV/0!</v>
      </c>
      <c r="AI115" s="102" t="e">
        <f t="shared" si="37"/>
        <v>#DIV/0!</v>
      </c>
      <c r="AJ115" s="15"/>
      <c r="AK115" s="15" t="e">
        <f t="shared" si="42"/>
        <v>#DIV/0!</v>
      </c>
      <c r="AL115" s="15" t="e">
        <f t="shared" si="43"/>
        <v>#DIV/0!</v>
      </c>
      <c r="AM115" s="15">
        <f t="shared" si="38"/>
        <v>0</v>
      </c>
      <c r="AN115" s="15" t="e">
        <f t="shared" si="39"/>
        <v>#DIV/0!</v>
      </c>
    </row>
    <row r="116" spans="18:40" ht="13.8" x14ac:dyDescent="0.3">
      <c r="R116" s="51">
        <v>52</v>
      </c>
      <c r="S116" s="38">
        <f t="shared" si="33"/>
        <v>104</v>
      </c>
      <c r="T116" s="52">
        <f t="shared" si="23"/>
        <v>1.8151424220741028</v>
      </c>
      <c r="U116" s="52">
        <f t="shared" si="40"/>
        <v>0.78801075360672201</v>
      </c>
      <c r="V116" s="52">
        <f t="shared" si="41"/>
        <v>0.97029572627599647</v>
      </c>
      <c r="W116" s="52">
        <f t="shared" si="34"/>
        <v>0.61566147532565829</v>
      </c>
      <c r="X116" s="52">
        <f t="shared" si="35"/>
        <v>0</v>
      </c>
      <c r="Y116" s="15">
        <f t="shared" si="24"/>
        <v>0</v>
      </c>
      <c r="Z116" s="52">
        <f t="shared" si="25"/>
        <v>0</v>
      </c>
      <c r="AA116" s="52">
        <f t="shared" si="26"/>
        <v>0</v>
      </c>
      <c r="AB116" s="15" t="e">
        <f t="shared" si="27"/>
        <v>#DIV/0!</v>
      </c>
      <c r="AC116" s="15" t="e">
        <f t="shared" si="36"/>
        <v>#DIV/0!</v>
      </c>
      <c r="AD116" s="15" t="e">
        <f t="shared" si="28"/>
        <v>#DIV/0!</v>
      </c>
      <c r="AE116" s="15" t="e">
        <f t="shared" si="29"/>
        <v>#DIV/0!</v>
      </c>
      <c r="AF116" s="15" t="e">
        <f t="shared" si="30"/>
        <v>#DIV/0!</v>
      </c>
      <c r="AG116" s="15" t="e">
        <f t="shared" si="31"/>
        <v>#DIV/0!</v>
      </c>
      <c r="AH116" s="53" t="e">
        <f t="shared" si="32"/>
        <v>#DIV/0!</v>
      </c>
      <c r="AI116" s="102" t="e">
        <f t="shared" si="37"/>
        <v>#DIV/0!</v>
      </c>
      <c r="AJ116" s="15"/>
      <c r="AK116" s="15" t="e">
        <f t="shared" si="42"/>
        <v>#DIV/0!</v>
      </c>
      <c r="AL116" s="15" t="e">
        <f t="shared" si="43"/>
        <v>#DIV/0!</v>
      </c>
      <c r="AM116" s="15">
        <f t="shared" si="38"/>
        <v>0</v>
      </c>
      <c r="AN116" s="15" t="e">
        <f t="shared" si="39"/>
        <v>#DIV/0!</v>
      </c>
    </row>
    <row r="117" spans="18:40" ht="13.8" x14ac:dyDescent="0.3">
      <c r="R117" s="51">
        <v>52.5</v>
      </c>
      <c r="S117" s="38">
        <f t="shared" si="33"/>
        <v>105</v>
      </c>
      <c r="T117" s="52">
        <f t="shared" si="23"/>
        <v>1.8325957145940461</v>
      </c>
      <c r="U117" s="52">
        <f t="shared" si="40"/>
        <v>0.79335334029123517</v>
      </c>
      <c r="V117" s="52">
        <f t="shared" si="41"/>
        <v>0.96592582628906831</v>
      </c>
      <c r="W117" s="52">
        <f t="shared" si="34"/>
        <v>0.60876142900872066</v>
      </c>
      <c r="X117" s="52">
        <f t="shared" si="35"/>
        <v>0</v>
      </c>
      <c r="Y117" s="15">
        <f t="shared" si="24"/>
        <v>0</v>
      </c>
      <c r="Z117" s="52">
        <f t="shared" si="25"/>
        <v>0</v>
      </c>
      <c r="AA117" s="52">
        <f t="shared" si="26"/>
        <v>0</v>
      </c>
      <c r="AB117" s="15" t="e">
        <f t="shared" si="27"/>
        <v>#DIV/0!</v>
      </c>
      <c r="AC117" s="15" t="e">
        <f t="shared" si="36"/>
        <v>#DIV/0!</v>
      </c>
      <c r="AD117" s="15" t="e">
        <f t="shared" si="28"/>
        <v>#DIV/0!</v>
      </c>
      <c r="AE117" s="15" t="e">
        <f t="shared" si="29"/>
        <v>#DIV/0!</v>
      </c>
      <c r="AF117" s="15" t="e">
        <f t="shared" si="30"/>
        <v>#DIV/0!</v>
      </c>
      <c r="AG117" s="15" t="e">
        <f t="shared" si="31"/>
        <v>#DIV/0!</v>
      </c>
      <c r="AH117" s="53" t="e">
        <f t="shared" si="32"/>
        <v>#DIV/0!</v>
      </c>
      <c r="AI117" s="102" t="e">
        <f t="shared" si="37"/>
        <v>#DIV/0!</v>
      </c>
      <c r="AJ117" s="15"/>
      <c r="AK117" s="15" t="e">
        <f t="shared" si="42"/>
        <v>#DIV/0!</v>
      </c>
      <c r="AL117" s="15" t="e">
        <f t="shared" si="43"/>
        <v>#DIV/0!</v>
      </c>
      <c r="AM117" s="15">
        <f t="shared" si="38"/>
        <v>0</v>
      </c>
      <c r="AN117" s="15" t="e">
        <f t="shared" si="39"/>
        <v>#DIV/0!</v>
      </c>
    </row>
    <row r="118" spans="18:40" ht="13.8" x14ac:dyDescent="0.3">
      <c r="R118" s="51">
        <v>53</v>
      </c>
      <c r="S118" s="38">
        <f t="shared" si="33"/>
        <v>106</v>
      </c>
      <c r="T118" s="52">
        <f t="shared" si="23"/>
        <v>1.8500490071139892</v>
      </c>
      <c r="U118" s="52">
        <f t="shared" si="40"/>
        <v>0.79863551004729283</v>
      </c>
      <c r="V118" s="52">
        <f t="shared" si="41"/>
        <v>0.96126169593831889</v>
      </c>
      <c r="W118" s="52">
        <f t="shared" si="34"/>
        <v>0.60181502315204838</v>
      </c>
      <c r="X118" s="52">
        <f t="shared" si="35"/>
        <v>0</v>
      </c>
      <c r="Y118" s="15">
        <f t="shared" si="24"/>
        <v>0</v>
      </c>
      <c r="Z118" s="52">
        <f t="shared" si="25"/>
        <v>0</v>
      </c>
      <c r="AA118" s="52">
        <f t="shared" si="26"/>
        <v>0</v>
      </c>
      <c r="AB118" s="15" t="e">
        <f t="shared" si="27"/>
        <v>#DIV/0!</v>
      </c>
      <c r="AC118" s="15" t="e">
        <f t="shared" si="36"/>
        <v>#DIV/0!</v>
      </c>
      <c r="AD118" s="15" t="e">
        <f t="shared" si="28"/>
        <v>#DIV/0!</v>
      </c>
      <c r="AE118" s="15" t="e">
        <f t="shared" si="29"/>
        <v>#DIV/0!</v>
      </c>
      <c r="AF118" s="15" t="e">
        <f t="shared" si="30"/>
        <v>#DIV/0!</v>
      </c>
      <c r="AG118" s="15" t="e">
        <f t="shared" si="31"/>
        <v>#DIV/0!</v>
      </c>
      <c r="AH118" s="53" t="e">
        <f t="shared" si="32"/>
        <v>#DIV/0!</v>
      </c>
      <c r="AI118" s="102" t="e">
        <f t="shared" si="37"/>
        <v>#DIV/0!</v>
      </c>
      <c r="AJ118" s="15"/>
      <c r="AK118" s="15" t="e">
        <f t="shared" si="42"/>
        <v>#DIV/0!</v>
      </c>
      <c r="AL118" s="15" t="e">
        <f t="shared" si="43"/>
        <v>#DIV/0!</v>
      </c>
      <c r="AM118" s="15">
        <f t="shared" si="38"/>
        <v>0</v>
      </c>
      <c r="AN118" s="15" t="e">
        <f t="shared" si="39"/>
        <v>#DIV/0!</v>
      </c>
    </row>
    <row r="119" spans="18:40" ht="13.8" x14ac:dyDescent="0.3">
      <c r="R119" s="51">
        <v>53.5</v>
      </c>
      <c r="S119" s="38">
        <f t="shared" si="33"/>
        <v>107</v>
      </c>
      <c r="T119" s="52">
        <f t="shared" si="23"/>
        <v>1.8675022996339325</v>
      </c>
      <c r="U119" s="52">
        <f t="shared" si="40"/>
        <v>0.80385686061721728</v>
      </c>
      <c r="V119" s="52">
        <f t="shared" si="41"/>
        <v>0.95630475596303555</v>
      </c>
      <c r="W119" s="52">
        <f t="shared" si="34"/>
        <v>0.59482278675134137</v>
      </c>
      <c r="X119" s="52">
        <f t="shared" si="35"/>
        <v>0</v>
      </c>
      <c r="Y119" s="15">
        <f t="shared" si="24"/>
        <v>0</v>
      </c>
      <c r="Z119" s="52">
        <f t="shared" si="25"/>
        <v>0</v>
      </c>
      <c r="AA119" s="52">
        <f t="shared" si="26"/>
        <v>0</v>
      </c>
      <c r="AB119" s="15" t="e">
        <f t="shared" si="27"/>
        <v>#DIV/0!</v>
      </c>
      <c r="AC119" s="15" t="e">
        <f t="shared" si="36"/>
        <v>#DIV/0!</v>
      </c>
      <c r="AD119" s="15" t="e">
        <f t="shared" si="28"/>
        <v>#DIV/0!</v>
      </c>
      <c r="AE119" s="15" t="e">
        <f t="shared" si="29"/>
        <v>#DIV/0!</v>
      </c>
      <c r="AF119" s="15" t="e">
        <f t="shared" si="30"/>
        <v>#DIV/0!</v>
      </c>
      <c r="AG119" s="15" t="e">
        <f t="shared" si="31"/>
        <v>#DIV/0!</v>
      </c>
      <c r="AH119" s="53" t="e">
        <f t="shared" si="32"/>
        <v>#DIV/0!</v>
      </c>
      <c r="AI119" s="102" t="e">
        <f t="shared" si="37"/>
        <v>#DIV/0!</v>
      </c>
      <c r="AJ119" s="15"/>
      <c r="AK119" s="15" t="e">
        <f t="shared" si="42"/>
        <v>#DIV/0!</v>
      </c>
      <c r="AL119" s="15" t="e">
        <f t="shared" si="43"/>
        <v>#DIV/0!</v>
      </c>
      <c r="AM119" s="15">
        <f t="shared" si="38"/>
        <v>0</v>
      </c>
      <c r="AN119" s="15" t="e">
        <f t="shared" si="39"/>
        <v>#DIV/0!</v>
      </c>
    </row>
    <row r="120" spans="18:40" ht="13.8" x14ac:dyDescent="0.3">
      <c r="R120" s="51">
        <v>54</v>
      </c>
      <c r="S120" s="38">
        <f t="shared" si="33"/>
        <v>108</v>
      </c>
      <c r="T120" s="52">
        <f t="shared" si="23"/>
        <v>1.8849555921538759</v>
      </c>
      <c r="U120" s="52">
        <f t="shared" si="40"/>
        <v>0.80901699437494745</v>
      </c>
      <c r="V120" s="52">
        <f t="shared" si="41"/>
        <v>0.95105651629515364</v>
      </c>
      <c r="W120" s="52">
        <f t="shared" si="34"/>
        <v>0.58778525229247314</v>
      </c>
      <c r="X120" s="52">
        <f t="shared" si="35"/>
        <v>0</v>
      </c>
      <c r="Y120" s="15">
        <f t="shared" si="24"/>
        <v>0</v>
      </c>
      <c r="Z120" s="52">
        <f t="shared" si="25"/>
        <v>0</v>
      </c>
      <c r="AA120" s="52">
        <f t="shared" si="26"/>
        <v>0</v>
      </c>
      <c r="AB120" s="15" t="e">
        <f t="shared" si="27"/>
        <v>#DIV/0!</v>
      </c>
      <c r="AC120" s="15" t="e">
        <f t="shared" si="36"/>
        <v>#DIV/0!</v>
      </c>
      <c r="AD120" s="15" t="e">
        <f t="shared" si="28"/>
        <v>#DIV/0!</v>
      </c>
      <c r="AE120" s="15" t="e">
        <f t="shared" si="29"/>
        <v>#DIV/0!</v>
      </c>
      <c r="AF120" s="15" t="e">
        <f t="shared" si="30"/>
        <v>#DIV/0!</v>
      </c>
      <c r="AG120" s="15" t="e">
        <f t="shared" si="31"/>
        <v>#DIV/0!</v>
      </c>
      <c r="AH120" s="53" t="e">
        <f t="shared" si="32"/>
        <v>#DIV/0!</v>
      </c>
      <c r="AI120" s="102" t="e">
        <f t="shared" si="37"/>
        <v>#DIV/0!</v>
      </c>
      <c r="AJ120" s="15"/>
      <c r="AK120" s="15" t="e">
        <f t="shared" si="42"/>
        <v>#DIV/0!</v>
      </c>
      <c r="AL120" s="15" t="e">
        <f t="shared" si="43"/>
        <v>#DIV/0!</v>
      </c>
      <c r="AM120" s="15">
        <f t="shared" si="38"/>
        <v>0</v>
      </c>
      <c r="AN120" s="15" t="e">
        <f t="shared" si="39"/>
        <v>#DIV/0!</v>
      </c>
    </row>
    <row r="121" spans="18:40" ht="13.8" x14ac:dyDescent="0.3">
      <c r="R121" s="51">
        <v>54.5</v>
      </c>
      <c r="S121" s="38">
        <f t="shared" si="33"/>
        <v>109</v>
      </c>
      <c r="T121" s="52">
        <f t="shared" si="23"/>
        <v>1.9024088846738192</v>
      </c>
      <c r="U121" s="52">
        <f t="shared" si="40"/>
        <v>0.81411551835631923</v>
      </c>
      <c r="V121" s="52">
        <f t="shared" si="41"/>
        <v>0.94551857559931685</v>
      </c>
      <c r="W121" s="52">
        <f t="shared" si="34"/>
        <v>0.58070295571093977</v>
      </c>
      <c r="X121" s="52">
        <f t="shared" si="35"/>
        <v>0</v>
      </c>
      <c r="Y121" s="15">
        <f t="shared" si="24"/>
        <v>0</v>
      </c>
      <c r="Z121" s="52">
        <f t="shared" si="25"/>
        <v>0</v>
      </c>
      <c r="AA121" s="52">
        <f t="shared" si="26"/>
        <v>0</v>
      </c>
      <c r="AB121" s="15" t="e">
        <f t="shared" si="27"/>
        <v>#DIV/0!</v>
      </c>
      <c r="AC121" s="15" t="e">
        <f t="shared" si="36"/>
        <v>#DIV/0!</v>
      </c>
      <c r="AD121" s="15" t="e">
        <f t="shared" si="28"/>
        <v>#DIV/0!</v>
      </c>
      <c r="AE121" s="15" t="e">
        <f t="shared" si="29"/>
        <v>#DIV/0!</v>
      </c>
      <c r="AF121" s="15" t="e">
        <f t="shared" si="30"/>
        <v>#DIV/0!</v>
      </c>
      <c r="AG121" s="15" t="e">
        <f t="shared" si="31"/>
        <v>#DIV/0!</v>
      </c>
      <c r="AH121" s="53" t="e">
        <f t="shared" si="32"/>
        <v>#DIV/0!</v>
      </c>
      <c r="AI121" s="102" t="e">
        <f t="shared" si="37"/>
        <v>#DIV/0!</v>
      </c>
      <c r="AJ121" s="15"/>
      <c r="AK121" s="15" t="e">
        <f t="shared" si="42"/>
        <v>#DIV/0!</v>
      </c>
      <c r="AL121" s="15" t="e">
        <f t="shared" si="43"/>
        <v>#DIV/0!</v>
      </c>
      <c r="AM121" s="15">
        <f t="shared" si="38"/>
        <v>0</v>
      </c>
      <c r="AN121" s="15" t="e">
        <f t="shared" si="39"/>
        <v>#DIV/0!</v>
      </c>
    </row>
    <row r="122" spans="18:40" ht="13.8" x14ac:dyDescent="0.3">
      <c r="R122" s="51">
        <v>55</v>
      </c>
      <c r="S122" s="38">
        <f t="shared" si="33"/>
        <v>110</v>
      </c>
      <c r="T122" s="52">
        <f t="shared" si="23"/>
        <v>1.9198621771937625</v>
      </c>
      <c r="U122" s="52">
        <f t="shared" si="40"/>
        <v>0.8191520442889918</v>
      </c>
      <c r="V122" s="52">
        <f t="shared" si="41"/>
        <v>0.93969262078590843</v>
      </c>
      <c r="W122" s="52">
        <f t="shared" si="34"/>
        <v>0.57357643635104616</v>
      </c>
      <c r="X122" s="52">
        <f t="shared" si="35"/>
        <v>0</v>
      </c>
      <c r="Y122" s="15">
        <f t="shared" si="24"/>
        <v>0</v>
      </c>
      <c r="Z122" s="52">
        <f t="shared" si="25"/>
        <v>0</v>
      </c>
      <c r="AA122" s="52">
        <f t="shared" si="26"/>
        <v>0</v>
      </c>
      <c r="AB122" s="15" t="e">
        <f t="shared" si="27"/>
        <v>#DIV/0!</v>
      </c>
      <c r="AC122" s="15" t="e">
        <f t="shared" si="36"/>
        <v>#DIV/0!</v>
      </c>
      <c r="AD122" s="15" t="e">
        <f t="shared" si="28"/>
        <v>#DIV/0!</v>
      </c>
      <c r="AE122" s="15" t="e">
        <f t="shared" si="29"/>
        <v>#DIV/0!</v>
      </c>
      <c r="AF122" s="15" t="e">
        <f t="shared" si="30"/>
        <v>#DIV/0!</v>
      </c>
      <c r="AG122" s="15" t="e">
        <f t="shared" si="31"/>
        <v>#DIV/0!</v>
      </c>
      <c r="AH122" s="53" t="e">
        <f t="shared" si="32"/>
        <v>#DIV/0!</v>
      </c>
      <c r="AI122" s="102" t="e">
        <f t="shared" si="37"/>
        <v>#DIV/0!</v>
      </c>
      <c r="AJ122" s="15"/>
      <c r="AK122" s="15" t="e">
        <f t="shared" si="42"/>
        <v>#DIV/0!</v>
      </c>
      <c r="AL122" s="15" t="e">
        <f t="shared" si="43"/>
        <v>#DIV/0!</v>
      </c>
      <c r="AM122" s="15">
        <f t="shared" si="38"/>
        <v>0</v>
      </c>
      <c r="AN122" s="15" t="e">
        <f t="shared" si="39"/>
        <v>#DIV/0!</v>
      </c>
    </row>
    <row r="123" spans="18:40" ht="13.8" x14ac:dyDescent="0.3">
      <c r="R123" s="51">
        <v>55.5</v>
      </c>
      <c r="S123" s="38">
        <f t="shared" si="33"/>
        <v>111</v>
      </c>
      <c r="T123" s="52">
        <f t="shared" si="23"/>
        <v>1.9373154697137058</v>
      </c>
      <c r="U123" s="52">
        <f t="shared" si="40"/>
        <v>0.8241261886220157</v>
      </c>
      <c r="V123" s="52">
        <f t="shared" si="41"/>
        <v>0.93358042649720174</v>
      </c>
      <c r="W123" s="52">
        <f t="shared" si="34"/>
        <v>0.56640623692483283</v>
      </c>
      <c r="X123" s="52">
        <f t="shared" si="35"/>
        <v>0</v>
      </c>
      <c r="Y123" s="15">
        <f t="shared" si="24"/>
        <v>0</v>
      </c>
      <c r="Z123" s="52">
        <f t="shared" si="25"/>
        <v>0</v>
      </c>
      <c r="AA123" s="52">
        <f t="shared" si="26"/>
        <v>0</v>
      </c>
      <c r="AB123" s="15" t="e">
        <f t="shared" si="27"/>
        <v>#DIV/0!</v>
      </c>
      <c r="AC123" s="15" t="e">
        <f t="shared" si="36"/>
        <v>#DIV/0!</v>
      </c>
      <c r="AD123" s="15" t="e">
        <f t="shared" si="28"/>
        <v>#DIV/0!</v>
      </c>
      <c r="AE123" s="15" t="e">
        <f t="shared" si="29"/>
        <v>#DIV/0!</v>
      </c>
      <c r="AF123" s="15" t="e">
        <f t="shared" si="30"/>
        <v>#DIV/0!</v>
      </c>
      <c r="AG123" s="15" t="e">
        <f t="shared" si="31"/>
        <v>#DIV/0!</v>
      </c>
      <c r="AH123" s="53" t="e">
        <f t="shared" si="32"/>
        <v>#DIV/0!</v>
      </c>
      <c r="AI123" s="102" t="e">
        <f t="shared" si="37"/>
        <v>#DIV/0!</v>
      </c>
      <c r="AJ123" s="15"/>
      <c r="AK123" s="15" t="e">
        <f t="shared" si="42"/>
        <v>#DIV/0!</v>
      </c>
      <c r="AL123" s="15" t="e">
        <f t="shared" si="43"/>
        <v>#DIV/0!</v>
      </c>
      <c r="AM123" s="15">
        <f t="shared" si="38"/>
        <v>0</v>
      </c>
      <c r="AN123" s="15" t="e">
        <f t="shared" si="39"/>
        <v>#DIV/0!</v>
      </c>
    </row>
    <row r="124" spans="18:40" ht="13.8" x14ac:dyDescent="0.3">
      <c r="R124" s="51">
        <v>56</v>
      </c>
      <c r="S124" s="38">
        <f t="shared" si="33"/>
        <v>112</v>
      </c>
      <c r="T124" s="52">
        <f t="shared" si="23"/>
        <v>1.9547687622336491</v>
      </c>
      <c r="U124" s="52">
        <f t="shared" si="40"/>
        <v>0.82903757255504174</v>
      </c>
      <c r="V124" s="52">
        <f t="shared" si="41"/>
        <v>0.92718385456678742</v>
      </c>
      <c r="W124" s="52">
        <f t="shared" si="34"/>
        <v>0.55919290347074679</v>
      </c>
      <c r="X124" s="52">
        <f t="shared" si="35"/>
        <v>0</v>
      </c>
      <c r="Y124" s="15">
        <f t="shared" si="24"/>
        <v>0</v>
      </c>
      <c r="Z124" s="52">
        <f t="shared" si="25"/>
        <v>0</v>
      </c>
      <c r="AA124" s="52">
        <f t="shared" si="26"/>
        <v>0</v>
      </c>
      <c r="AB124" s="15" t="e">
        <f t="shared" si="27"/>
        <v>#DIV/0!</v>
      </c>
      <c r="AC124" s="15" t="e">
        <f t="shared" si="36"/>
        <v>#DIV/0!</v>
      </c>
      <c r="AD124" s="15" t="e">
        <f t="shared" si="28"/>
        <v>#DIV/0!</v>
      </c>
      <c r="AE124" s="15" t="e">
        <f t="shared" si="29"/>
        <v>#DIV/0!</v>
      </c>
      <c r="AF124" s="15" t="e">
        <f t="shared" si="30"/>
        <v>#DIV/0!</v>
      </c>
      <c r="AG124" s="15" t="e">
        <f t="shared" si="31"/>
        <v>#DIV/0!</v>
      </c>
      <c r="AH124" s="53" t="e">
        <f t="shared" si="32"/>
        <v>#DIV/0!</v>
      </c>
      <c r="AI124" s="102" t="e">
        <f t="shared" si="37"/>
        <v>#DIV/0!</v>
      </c>
      <c r="AJ124" s="15"/>
      <c r="AK124" s="15" t="e">
        <f t="shared" si="42"/>
        <v>#DIV/0!</v>
      </c>
      <c r="AL124" s="15" t="e">
        <f t="shared" si="43"/>
        <v>#DIV/0!</v>
      </c>
      <c r="AM124" s="15">
        <f t="shared" si="38"/>
        <v>0</v>
      </c>
      <c r="AN124" s="15" t="e">
        <f t="shared" si="39"/>
        <v>#DIV/0!</v>
      </c>
    </row>
    <row r="125" spans="18:40" ht="13.8" x14ac:dyDescent="0.3">
      <c r="R125" s="51">
        <v>56.5</v>
      </c>
      <c r="S125" s="38">
        <f t="shared" si="33"/>
        <v>113</v>
      </c>
      <c r="T125" s="52">
        <f t="shared" si="23"/>
        <v>1.9722220547535925</v>
      </c>
      <c r="U125" s="52">
        <f t="shared" si="40"/>
        <v>0.83388582206716821</v>
      </c>
      <c r="V125" s="52">
        <f t="shared" si="41"/>
        <v>0.92050485345244026</v>
      </c>
      <c r="W125" s="52">
        <f t="shared" si="34"/>
        <v>0.55193698531205815</v>
      </c>
      <c r="X125" s="52">
        <f t="shared" si="35"/>
        <v>0</v>
      </c>
      <c r="Y125" s="15">
        <f t="shared" si="24"/>
        <v>0</v>
      </c>
      <c r="Z125" s="52">
        <f t="shared" si="25"/>
        <v>0</v>
      </c>
      <c r="AA125" s="52">
        <f t="shared" si="26"/>
        <v>0</v>
      </c>
      <c r="AB125" s="15" t="e">
        <f t="shared" si="27"/>
        <v>#DIV/0!</v>
      </c>
      <c r="AC125" s="15" t="e">
        <f t="shared" si="36"/>
        <v>#DIV/0!</v>
      </c>
      <c r="AD125" s="15" t="e">
        <f t="shared" si="28"/>
        <v>#DIV/0!</v>
      </c>
      <c r="AE125" s="15" t="e">
        <f t="shared" si="29"/>
        <v>#DIV/0!</v>
      </c>
      <c r="AF125" s="15" t="e">
        <f t="shared" si="30"/>
        <v>#DIV/0!</v>
      </c>
      <c r="AG125" s="15" t="e">
        <f t="shared" si="31"/>
        <v>#DIV/0!</v>
      </c>
      <c r="AH125" s="53" t="e">
        <f t="shared" si="32"/>
        <v>#DIV/0!</v>
      </c>
      <c r="AI125" s="102" t="e">
        <f t="shared" si="37"/>
        <v>#DIV/0!</v>
      </c>
      <c r="AJ125" s="15"/>
      <c r="AK125" s="15" t="e">
        <f t="shared" si="42"/>
        <v>#DIV/0!</v>
      </c>
      <c r="AL125" s="15" t="e">
        <f t="shared" si="43"/>
        <v>#DIV/0!</v>
      </c>
      <c r="AM125" s="15">
        <f t="shared" si="38"/>
        <v>0</v>
      </c>
      <c r="AN125" s="15" t="e">
        <f t="shared" si="39"/>
        <v>#DIV/0!</v>
      </c>
    </row>
    <row r="126" spans="18:40" ht="13.8" x14ac:dyDescent="0.3">
      <c r="R126" s="51">
        <v>57</v>
      </c>
      <c r="S126" s="38">
        <f t="shared" si="33"/>
        <v>114</v>
      </c>
      <c r="T126" s="52">
        <f t="shared" si="23"/>
        <v>1.9896753472735358</v>
      </c>
      <c r="U126" s="52">
        <f t="shared" si="40"/>
        <v>0.83867056794542405</v>
      </c>
      <c r="V126" s="52">
        <f t="shared" si="41"/>
        <v>0.91354545764260087</v>
      </c>
      <c r="W126" s="52">
        <f t="shared" si="34"/>
        <v>0.54463903501502708</v>
      </c>
      <c r="X126" s="52">
        <f t="shared" si="35"/>
        <v>0</v>
      </c>
      <c r="Y126" s="15">
        <f t="shared" si="24"/>
        <v>0</v>
      </c>
      <c r="Z126" s="52">
        <f t="shared" si="25"/>
        <v>0</v>
      </c>
      <c r="AA126" s="52">
        <f t="shared" si="26"/>
        <v>0</v>
      </c>
      <c r="AB126" s="15" t="e">
        <f t="shared" si="27"/>
        <v>#DIV/0!</v>
      </c>
      <c r="AC126" s="15" t="e">
        <f t="shared" si="36"/>
        <v>#DIV/0!</v>
      </c>
      <c r="AD126" s="15" t="e">
        <f t="shared" si="28"/>
        <v>#DIV/0!</v>
      </c>
      <c r="AE126" s="15" t="e">
        <f t="shared" si="29"/>
        <v>#DIV/0!</v>
      </c>
      <c r="AF126" s="15" t="e">
        <f t="shared" si="30"/>
        <v>#DIV/0!</v>
      </c>
      <c r="AG126" s="15" t="e">
        <f t="shared" si="31"/>
        <v>#DIV/0!</v>
      </c>
      <c r="AH126" s="53" t="e">
        <f t="shared" si="32"/>
        <v>#DIV/0!</v>
      </c>
      <c r="AI126" s="102" t="e">
        <f t="shared" si="37"/>
        <v>#DIV/0!</v>
      </c>
      <c r="AJ126" s="15"/>
      <c r="AK126" s="15" t="e">
        <f t="shared" si="42"/>
        <v>#DIV/0!</v>
      </c>
      <c r="AL126" s="15" t="e">
        <f t="shared" si="43"/>
        <v>#DIV/0!</v>
      </c>
      <c r="AM126" s="15">
        <f t="shared" si="38"/>
        <v>0</v>
      </c>
      <c r="AN126" s="15" t="e">
        <f t="shared" si="39"/>
        <v>#DIV/0!</v>
      </c>
    </row>
    <row r="127" spans="18:40" ht="13.8" x14ac:dyDescent="0.3">
      <c r="R127" s="51">
        <v>57.5</v>
      </c>
      <c r="S127" s="38">
        <f t="shared" si="33"/>
        <v>115</v>
      </c>
      <c r="T127" s="52">
        <f t="shared" si="23"/>
        <v>2.0071286397934789</v>
      </c>
      <c r="U127" s="52">
        <f t="shared" si="40"/>
        <v>0.84339144581288572</v>
      </c>
      <c r="V127" s="52">
        <f t="shared" si="41"/>
        <v>0.90630778703665005</v>
      </c>
      <c r="W127" s="52">
        <f t="shared" si="34"/>
        <v>0.53729960834682389</v>
      </c>
      <c r="X127" s="52">
        <f t="shared" si="35"/>
        <v>0</v>
      </c>
      <c r="Y127" s="15">
        <f t="shared" si="24"/>
        <v>0</v>
      </c>
      <c r="Z127" s="52">
        <f t="shared" si="25"/>
        <v>0</v>
      </c>
      <c r="AA127" s="52">
        <f t="shared" si="26"/>
        <v>0</v>
      </c>
      <c r="AB127" s="15" t="e">
        <f t="shared" si="27"/>
        <v>#DIV/0!</v>
      </c>
      <c r="AC127" s="15" t="e">
        <f t="shared" si="36"/>
        <v>#DIV/0!</v>
      </c>
      <c r="AD127" s="15" t="e">
        <f t="shared" si="28"/>
        <v>#DIV/0!</v>
      </c>
      <c r="AE127" s="15" t="e">
        <f t="shared" si="29"/>
        <v>#DIV/0!</v>
      </c>
      <c r="AF127" s="15" t="e">
        <f t="shared" si="30"/>
        <v>#DIV/0!</v>
      </c>
      <c r="AG127" s="15" t="e">
        <f t="shared" si="31"/>
        <v>#DIV/0!</v>
      </c>
      <c r="AH127" s="53" t="e">
        <f t="shared" si="32"/>
        <v>#DIV/0!</v>
      </c>
      <c r="AI127" s="102" t="e">
        <f t="shared" si="37"/>
        <v>#DIV/0!</v>
      </c>
      <c r="AJ127" s="15"/>
      <c r="AK127" s="15" t="e">
        <f t="shared" si="42"/>
        <v>#DIV/0!</v>
      </c>
      <c r="AL127" s="15" t="e">
        <f t="shared" si="43"/>
        <v>#DIV/0!</v>
      </c>
      <c r="AM127" s="15">
        <f t="shared" si="38"/>
        <v>0</v>
      </c>
      <c r="AN127" s="15" t="e">
        <f t="shared" si="39"/>
        <v>#DIV/0!</v>
      </c>
    </row>
    <row r="128" spans="18:40" ht="13.8" x14ac:dyDescent="0.3">
      <c r="R128" s="51">
        <v>58</v>
      </c>
      <c r="S128" s="38">
        <f t="shared" si="33"/>
        <v>116</v>
      </c>
      <c r="T128" s="52">
        <f t="shared" si="23"/>
        <v>2.0245819323134224</v>
      </c>
      <c r="U128" s="52">
        <f t="shared" si="40"/>
        <v>0.84804809615642596</v>
      </c>
      <c r="V128" s="52">
        <f t="shared" si="41"/>
        <v>0.89879404629916693</v>
      </c>
      <c r="W128" s="52">
        <f t="shared" si="34"/>
        <v>0.5299192642332049</v>
      </c>
      <c r="X128" s="52">
        <f t="shared" si="35"/>
        <v>0</v>
      </c>
      <c r="Y128" s="15">
        <f t="shared" si="24"/>
        <v>0</v>
      </c>
      <c r="Z128" s="52">
        <f t="shared" si="25"/>
        <v>0</v>
      </c>
      <c r="AA128" s="52">
        <f t="shared" si="26"/>
        <v>0</v>
      </c>
      <c r="AB128" s="15" t="e">
        <f t="shared" si="27"/>
        <v>#DIV/0!</v>
      </c>
      <c r="AC128" s="15" t="e">
        <f t="shared" si="36"/>
        <v>#DIV/0!</v>
      </c>
      <c r="AD128" s="15" t="e">
        <f t="shared" si="28"/>
        <v>#DIV/0!</v>
      </c>
      <c r="AE128" s="15" t="e">
        <f t="shared" si="29"/>
        <v>#DIV/0!</v>
      </c>
      <c r="AF128" s="15" t="e">
        <f t="shared" si="30"/>
        <v>#DIV/0!</v>
      </c>
      <c r="AG128" s="15" t="e">
        <f t="shared" si="31"/>
        <v>#DIV/0!</v>
      </c>
      <c r="AH128" s="53" t="e">
        <f t="shared" si="32"/>
        <v>#DIV/0!</v>
      </c>
      <c r="AI128" s="102" t="e">
        <f t="shared" si="37"/>
        <v>#DIV/0!</v>
      </c>
      <c r="AJ128" s="15"/>
      <c r="AK128" s="15" t="e">
        <f t="shared" si="42"/>
        <v>#DIV/0!</v>
      </c>
      <c r="AL128" s="15" t="e">
        <f t="shared" si="43"/>
        <v>#DIV/0!</v>
      </c>
      <c r="AM128" s="15">
        <f t="shared" si="38"/>
        <v>0</v>
      </c>
      <c r="AN128" s="15" t="e">
        <f t="shared" si="39"/>
        <v>#DIV/0!</v>
      </c>
    </row>
    <row r="129" spans="18:40" ht="13.8" x14ac:dyDescent="0.3">
      <c r="R129" s="51">
        <v>58.5</v>
      </c>
      <c r="S129" s="38">
        <f t="shared" si="33"/>
        <v>117</v>
      </c>
      <c r="T129" s="52">
        <f t="shared" si="23"/>
        <v>2.0420352248333655</v>
      </c>
      <c r="U129" s="52">
        <f t="shared" si="40"/>
        <v>0.85264016435409218</v>
      </c>
      <c r="V129" s="52">
        <f t="shared" si="41"/>
        <v>0.8910065241883679</v>
      </c>
      <c r="W129" s="52">
        <f t="shared" si="34"/>
        <v>0.52249856471594891</v>
      </c>
      <c r="X129" s="52">
        <f t="shared" si="35"/>
        <v>0</v>
      </c>
      <c r="Y129" s="15">
        <f t="shared" si="24"/>
        <v>0</v>
      </c>
      <c r="Z129" s="52">
        <f t="shared" si="25"/>
        <v>0</v>
      </c>
      <c r="AA129" s="52">
        <f t="shared" si="26"/>
        <v>0</v>
      </c>
      <c r="AB129" s="15" t="e">
        <f t="shared" si="27"/>
        <v>#DIV/0!</v>
      </c>
      <c r="AC129" s="15" t="e">
        <f t="shared" si="36"/>
        <v>#DIV/0!</v>
      </c>
      <c r="AD129" s="15" t="e">
        <f t="shared" si="28"/>
        <v>#DIV/0!</v>
      </c>
      <c r="AE129" s="15" t="e">
        <f t="shared" si="29"/>
        <v>#DIV/0!</v>
      </c>
      <c r="AF129" s="15" t="e">
        <f t="shared" si="30"/>
        <v>#DIV/0!</v>
      </c>
      <c r="AG129" s="15" t="e">
        <f t="shared" si="31"/>
        <v>#DIV/0!</v>
      </c>
      <c r="AH129" s="53" t="e">
        <f t="shared" si="32"/>
        <v>#DIV/0!</v>
      </c>
      <c r="AI129" s="102" t="e">
        <f t="shared" si="37"/>
        <v>#DIV/0!</v>
      </c>
      <c r="AJ129" s="15"/>
      <c r="AK129" s="15" t="e">
        <f t="shared" si="42"/>
        <v>#DIV/0!</v>
      </c>
      <c r="AL129" s="15" t="e">
        <f t="shared" si="43"/>
        <v>#DIV/0!</v>
      </c>
      <c r="AM129" s="15">
        <f t="shared" si="38"/>
        <v>0</v>
      </c>
      <c r="AN129" s="15" t="e">
        <f t="shared" si="39"/>
        <v>#DIV/0!</v>
      </c>
    </row>
    <row r="130" spans="18:40" ht="13.8" x14ac:dyDescent="0.3">
      <c r="R130" s="51">
        <v>59</v>
      </c>
      <c r="S130" s="38">
        <f t="shared" si="33"/>
        <v>118</v>
      </c>
      <c r="T130" s="52">
        <f t="shared" si="23"/>
        <v>2.0594885173533091</v>
      </c>
      <c r="U130" s="52">
        <f t="shared" si="40"/>
        <v>0.85716730070211233</v>
      </c>
      <c r="V130" s="52">
        <f t="shared" si="41"/>
        <v>0.88294759285892688</v>
      </c>
      <c r="W130" s="52">
        <f t="shared" si="34"/>
        <v>0.51503807491005416</v>
      </c>
      <c r="X130" s="52">
        <f t="shared" si="35"/>
        <v>0</v>
      </c>
      <c r="Y130" s="15">
        <f t="shared" si="24"/>
        <v>0</v>
      </c>
      <c r="Z130" s="52">
        <f t="shared" si="25"/>
        <v>0</v>
      </c>
      <c r="AA130" s="52">
        <f t="shared" si="26"/>
        <v>0</v>
      </c>
      <c r="AB130" s="15" t="e">
        <f t="shared" si="27"/>
        <v>#DIV/0!</v>
      </c>
      <c r="AC130" s="15" t="e">
        <f t="shared" si="36"/>
        <v>#DIV/0!</v>
      </c>
      <c r="AD130" s="15" t="e">
        <f t="shared" si="28"/>
        <v>#DIV/0!</v>
      </c>
      <c r="AE130" s="15" t="e">
        <f t="shared" si="29"/>
        <v>#DIV/0!</v>
      </c>
      <c r="AF130" s="15" t="e">
        <f t="shared" si="30"/>
        <v>#DIV/0!</v>
      </c>
      <c r="AG130" s="15" t="e">
        <f t="shared" si="31"/>
        <v>#DIV/0!</v>
      </c>
      <c r="AH130" s="53" t="e">
        <f t="shared" si="32"/>
        <v>#DIV/0!</v>
      </c>
      <c r="AI130" s="102" t="e">
        <f t="shared" si="37"/>
        <v>#DIV/0!</v>
      </c>
      <c r="AJ130" s="15"/>
      <c r="AK130" s="15" t="e">
        <f t="shared" si="42"/>
        <v>#DIV/0!</v>
      </c>
      <c r="AL130" s="15" t="e">
        <f t="shared" si="43"/>
        <v>#DIV/0!</v>
      </c>
      <c r="AM130" s="15">
        <f t="shared" si="38"/>
        <v>0</v>
      </c>
      <c r="AN130" s="15" t="e">
        <f t="shared" si="39"/>
        <v>#DIV/0!</v>
      </c>
    </row>
    <row r="131" spans="18:40" ht="13.8" x14ac:dyDescent="0.3">
      <c r="R131" s="51">
        <v>59.5</v>
      </c>
      <c r="S131" s="38">
        <f t="shared" si="33"/>
        <v>119</v>
      </c>
      <c r="T131" s="52">
        <f t="shared" si="23"/>
        <v>2.0769418098732522</v>
      </c>
      <c r="U131" s="52">
        <f t="shared" si="40"/>
        <v>0.86162916044152571</v>
      </c>
      <c r="V131" s="52">
        <f t="shared" si="41"/>
        <v>0.87461970713939585</v>
      </c>
      <c r="W131" s="52">
        <f t="shared" si="34"/>
        <v>0.5075383629607042</v>
      </c>
      <c r="X131" s="52">
        <f t="shared" si="35"/>
        <v>0</v>
      </c>
      <c r="Y131" s="15">
        <f t="shared" si="24"/>
        <v>0</v>
      </c>
      <c r="Z131" s="52">
        <f t="shared" si="25"/>
        <v>0</v>
      </c>
      <c r="AA131" s="52">
        <f t="shared" si="26"/>
        <v>0</v>
      </c>
      <c r="AB131" s="15" t="e">
        <f t="shared" si="27"/>
        <v>#DIV/0!</v>
      </c>
      <c r="AC131" s="15" t="e">
        <f t="shared" si="36"/>
        <v>#DIV/0!</v>
      </c>
      <c r="AD131" s="15" t="e">
        <f t="shared" si="28"/>
        <v>#DIV/0!</v>
      </c>
      <c r="AE131" s="15" t="e">
        <f t="shared" si="29"/>
        <v>#DIV/0!</v>
      </c>
      <c r="AF131" s="15" t="e">
        <f t="shared" si="30"/>
        <v>#DIV/0!</v>
      </c>
      <c r="AG131" s="15" t="e">
        <f t="shared" si="31"/>
        <v>#DIV/0!</v>
      </c>
      <c r="AH131" s="53" t="e">
        <f t="shared" si="32"/>
        <v>#DIV/0!</v>
      </c>
      <c r="AI131" s="102" t="e">
        <f t="shared" si="37"/>
        <v>#DIV/0!</v>
      </c>
      <c r="AJ131" s="15"/>
      <c r="AK131" s="15" t="e">
        <f t="shared" si="42"/>
        <v>#DIV/0!</v>
      </c>
      <c r="AL131" s="15" t="e">
        <f t="shared" si="43"/>
        <v>#DIV/0!</v>
      </c>
      <c r="AM131" s="15">
        <f t="shared" si="38"/>
        <v>0</v>
      </c>
      <c r="AN131" s="15" t="e">
        <f t="shared" si="39"/>
        <v>#DIV/0!</v>
      </c>
    </row>
    <row r="132" spans="18:40" ht="13.8" x14ac:dyDescent="0.3">
      <c r="R132" s="51">
        <v>60</v>
      </c>
      <c r="S132" s="38">
        <f t="shared" si="33"/>
        <v>120</v>
      </c>
      <c r="T132" s="52">
        <f t="shared" si="23"/>
        <v>2.0943951023931953</v>
      </c>
      <c r="U132" s="52">
        <f t="shared" si="40"/>
        <v>0.8660254037844386</v>
      </c>
      <c r="V132" s="52">
        <f t="shared" si="41"/>
        <v>0.86602540378443871</v>
      </c>
      <c r="W132" s="52">
        <f t="shared" si="34"/>
        <v>0.50000000000000011</v>
      </c>
      <c r="X132" s="52">
        <f t="shared" si="35"/>
        <v>0</v>
      </c>
      <c r="Y132" s="15">
        <f t="shared" si="24"/>
        <v>0</v>
      </c>
      <c r="Z132" s="52">
        <f t="shared" si="25"/>
        <v>0</v>
      </c>
      <c r="AA132" s="52">
        <f t="shared" si="26"/>
        <v>0</v>
      </c>
      <c r="AB132" s="15" t="e">
        <f t="shared" si="27"/>
        <v>#DIV/0!</v>
      </c>
      <c r="AC132" s="15" t="e">
        <f t="shared" si="36"/>
        <v>#DIV/0!</v>
      </c>
      <c r="AD132" s="15" t="e">
        <f t="shared" si="28"/>
        <v>#DIV/0!</v>
      </c>
      <c r="AE132" s="15" t="e">
        <f t="shared" si="29"/>
        <v>#DIV/0!</v>
      </c>
      <c r="AF132" s="15" t="e">
        <f t="shared" si="30"/>
        <v>#DIV/0!</v>
      </c>
      <c r="AG132" s="15" t="e">
        <f t="shared" si="31"/>
        <v>#DIV/0!</v>
      </c>
      <c r="AH132" s="53" t="e">
        <f t="shared" si="32"/>
        <v>#DIV/0!</v>
      </c>
      <c r="AI132" s="102" t="e">
        <f t="shared" si="37"/>
        <v>#DIV/0!</v>
      </c>
      <c r="AJ132" s="15"/>
      <c r="AK132" s="15" t="e">
        <f t="shared" si="42"/>
        <v>#DIV/0!</v>
      </c>
      <c r="AL132" s="15" t="e">
        <f t="shared" si="43"/>
        <v>#DIV/0!</v>
      </c>
      <c r="AM132" s="15">
        <f t="shared" si="38"/>
        <v>0</v>
      </c>
      <c r="AN132" s="15" t="e">
        <f t="shared" si="39"/>
        <v>#DIV/0!</v>
      </c>
    </row>
    <row r="133" spans="18:40" ht="13.8" x14ac:dyDescent="0.3">
      <c r="R133" s="51">
        <v>60.5</v>
      </c>
      <c r="S133" s="38">
        <f t="shared" si="33"/>
        <v>121</v>
      </c>
      <c r="T133" s="52">
        <f t="shared" si="23"/>
        <v>2.1118483949131388</v>
      </c>
      <c r="U133" s="52">
        <f t="shared" si="40"/>
        <v>0.8703556959398997</v>
      </c>
      <c r="V133" s="52">
        <f t="shared" si="41"/>
        <v>0.85716730070211233</v>
      </c>
      <c r="W133" s="52">
        <f t="shared" si="34"/>
        <v>0.49242356010346711</v>
      </c>
      <c r="X133" s="52">
        <f t="shared" si="35"/>
        <v>0</v>
      </c>
      <c r="Y133" s="15">
        <f t="shared" si="24"/>
        <v>0</v>
      </c>
      <c r="Z133" s="52">
        <f t="shared" si="25"/>
        <v>0</v>
      </c>
      <c r="AA133" s="52">
        <f t="shared" si="26"/>
        <v>0</v>
      </c>
      <c r="AB133" s="15" t="e">
        <f t="shared" si="27"/>
        <v>#DIV/0!</v>
      </c>
      <c r="AC133" s="15" t="e">
        <f t="shared" si="36"/>
        <v>#DIV/0!</v>
      </c>
      <c r="AD133" s="15" t="e">
        <f t="shared" si="28"/>
        <v>#DIV/0!</v>
      </c>
      <c r="AE133" s="15" t="e">
        <f t="shared" si="29"/>
        <v>#DIV/0!</v>
      </c>
      <c r="AF133" s="15" t="e">
        <f t="shared" si="30"/>
        <v>#DIV/0!</v>
      </c>
      <c r="AG133" s="15" t="e">
        <f t="shared" si="31"/>
        <v>#DIV/0!</v>
      </c>
      <c r="AH133" s="53" t="e">
        <f t="shared" si="32"/>
        <v>#DIV/0!</v>
      </c>
      <c r="AI133" s="102" t="e">
        <f t="shared" si="37"/>
        <v>#DIV/0!</v>
      </c>
      <c r="AJ133" s="15"/>
      <c r="AK133" s="15" t="e">
        <f t="shared" si="42"/>
        <v>#DIV/0!</v>
      </c>
      <c r="AL133" s="15" t="e">
        <f t="shared" si="43"/>
        <v>#DIV/0!</v>
      </c>
      <c r="AM133" s="15">
        <f t="shared" si="38"/>
        <v>0</v>
      </c>
      <c r="AN133" s="15" t="e">
        <f t="shared" si="39"/>
        <v>#DIV/0!</v>
      </c>
    </row>
    <row r="134" spans="18:40" ht="13.8" x14ac:dyDescent="0.3">
      <c r="R134" s="51">
        <v>61</v>
      </c>
      <c r="S134" s="38">
        <f t="shared" si="33"/>
        <v>122</v>
      </c>
      <c r="T134" s="52">
        <f t="shared" si="23"/>
        <v>2.1293016874330819</v>
      </c>
      <c r="U134" s="52">
        <f t="shared" si="40"/>
        <v>0.87461970713939574</v>
      </c>
      <c r="V134" s="52">
        <f t="shared" si="41"/>
        <v>0.84804809615642607</v>
      </c>
      <c r="W134" s="52">
        <f t="shared" si="34"/>
        <v>0.48480962024633711</v>
      </c>
      <c r="X134" s="52">
        <f t="shared" si="35"/>
        <v>0</v>
      </c>
      <c r="Y134" s="15">
        <f t="shared" si="24"/>
        <v>0</v>
      </c>
      <c r="Z134" s="52">
        <f t="shared" si="25"/>
        <v>0</v>
      </c>
      <c r="AA134" s="52">
        <f t="shared" si="26"/>
        <v>0</v>
      </c>
      <c r="AB134" s="15" t="e">
        <f t="shared" si="27"/>
        <v>#DIV/0!</v>
      </c>
      <c r="AC134" s="15" t="e">
        <f t="shared" si="36"/>
        <v>#DIV/0!</v>
      </c>
      <c r="AD134" s="15" t="e">
        <f t="shared" si="28"/>
        <v>#DIV/0!</v>
      </c>
      <c r="AE134" s="15" t="e">
        <f t="shared" si="29"/>
        <v>#DIV/0!</v>
      </c>
      <c r="AF134" s="15" t="e">
        <f t="shared" si="30"/>
        <v>#DIV/0!</v>
      </c>
      <c r="AG134" s="15" t="e">
        <f t="shared" si="31"/>
        <v>#DIV/0!</v>
      </c>
      <c r="AH134" s="53" t="e">
        <f t="shared" si="32"/>
        <v>#DIV/0!</v>
      </c>
      <c r="AI134" s="102" t="e">
        <f t="shared" si="37"/>
        <v>#DIV/0!</v>
      </c>
      <c r="AJ134" s="15"/>
      <c r="AK134" s="15" t="e">
        <f t="shared" si="42"/>
        <v>#DIV/0!</v>
      </c>
      <c r="AL134" s="15" t="e">
        <f t="shared" si="43"/>
        <v>#DIV/0!</v>
      </c>
      <c r="AM134" s="15">
        <f t="shared" si="38"/>
        <v>0</v>
      </c>
      <c r="AN134" s="15" t="e">
        <f t="shared" si="39"/>
        <v>#DIV/0!</v>
      </c>
    </row>
    <row r="135" spans="18:40" ht="13.8" x14ac:dyDescent="0.3">
      <c r="R135" s="51">
        <v>61.5</v>
      </c>
      <c r="S135" s="38">
        <f t="shared" si="33"/>
        <v>123</v>
      </c>
      <c r="T135" s="52">
        <f t="shared" si="23"/>
        <v>2.1467549799530254</v>
      </c>
      <c r="U135" s="52">
        <f t="shared" si="40"/>
        <v>0.87881711266196538</v>
      </c>
      <c r="V135" s="52">
        <f t="shared" si="41"/>
        <v>0.83867056794542394</v>
      </c>
      <c r="W135" s="52">
        <f t="shared" si="34"/>
        <v>0.47715876025960841</v>
      </c>
      <c r="X135" s="52">
        <f t="shared" si="35"/>
        <v>0</v>
      </c>
      <c r="Y135" s="15">
        <f t="shared" si="24"/>
        <v>0</v>
      </c>
      <c r="Z135" s="52">
        <f t="shared" si="25"/>
        <v>0</v>
      </c>
      <c r="AA135" s="52">
        <f t="shared" si="26"/>
        <v>0</v>
      </c>
      <c r="AB135" s="15" t="e">
        <f t="shared" si="27"/>
        <v>#DIV/0!</v>
      </c>
      <c r="AC135" s="15" t="e">
        <f t="shared" si="36"/>
        <v>#DIV/0!</v>
      </c>
      <c r="AD135" s="15" t="e">
        <f t="shared" si="28"/>
        <v>#DIV/0!</v>
      </c>
      <c r="AE135" s="15" t="e">
        <f t="shared" si="29"/>
        <v>#DIV/0!</v>
      </c>
      <c r="AF135" s="15" t="e">
        <f t="shared" si="30"/>
        <v>#DIV/0!</v>
      </c>
      <c r="AG135" s="15" t="e">
        <f t="shared" si="31"/>
        <v>#DIV/0!</v>
      </c>
      <c r="AH135" s="53" t="e">
        <f t="shared" si="32"/>
        <v>#DIV/0!</v>
      </c>
      <c r="AI135" s="102" t="e">
        <f t="shared" si="37"/>
        <v>#DIV/0!</v>
      </c>
      <c r="AJ135" s="15"/>
      <c r="AK135" s="15" t="e">
        <f t="shared" si="42"/>
        <v>#DIV/0!</v>
      </c>
      <c r="AL135" s="15" t="e">
        <f t="shared" si="43"/>
        <v>#DIV/0!</v>
      </c>
      <c r="AM135" s="15">
        <f t="shared" si="38"/>
        <v>0</v>
      </c>
      <c r="AN135" s="15" t="e">
        <f t="shared" si="39"/>
        <v>#DIV/0!</v>
      </c>
    </row>
    <row r="136" spans="18:40" ht="13.8" x14ac:dyDescent="0.3">
      <c r="R136" s="51">
        <v>62</v>
      </c>
      <c r="S136" s="38">
        <f t="shared" si="33"/>
        <v>124</v>
      </c>
      <c r="T136" s="52">
        <f t="shared" si="23"/>
        <v>2.1642082724729685</v>
      </c>
      <c r="U136" s="52">
        <f t="shared" si="40"/>
        <v>0.88294759285892688</v>
      </c>
      <c r="V136" s="52">
        <f t="shared" si="41"/>
        <v>0.82903757255504174</v>
      </c>
      <c r="W136" s="52">
        <f t="shared" si="34"/>
        <v>0.46947156278589086</v>
      </c>
      <c r="X136" s="52">
        <f t="shared" si="35"/>
        <v>0</v>
      </c>
      <c r="Y136" s="15">
        <f t="shared" si="24"/>
        <v>0</v>
      </c>
      <c r="Z136" s="52">
        <f t="shared" si="25"/>
        <v>0</v>
      </c>
      <c r="AA136" s="52">
        <f t="shared" si="26"/>
        <v>0</v>
      </c>
      <c r="AB136" s="15" t="e">
        <f t="shared" si="27"/>
        <v>#DIV/0!</v>
      </c>
      <c r="AC136" s="15" t="e">
        <f t="shared" si="36"/>
        <v>#DIV/0!</v>
      </c>
      <c r="AD136" s="15" t="e">
        <f t="shared" si="28"/>
        <v>#DIV/0!</v>
      </c>
      <c r="AE136" s="15" t="e">
        <f t="shared" si="29"/>
        <v>#DIV/0!</v>
      </c>
      <c r="AF136" s="15" t="e">
        <f t="shared" si="30"/>
        <v>#DIV/0!</v>
      </c>
      <c r="AG136" s="15" t="e">
        <f t="shared" si="31"/>
        <v>#DIV/0!</v>
      </c>
      <c r="AH136" s="53" t="e">
        <f t="shared" si="32"/>
        <v>#DIV/0!</v>
      </c>
      <c r="AI136" s="102" t="e">
        <f t="shared" si="37"/>
        <v>#DIV/0!</v>
      </c>
      <c r="AJ136" s="15"/>
      <c r="AK136" s="15" t="e">
        <f t="shared" si="42"/>
        <v>#DIV/0!</v>
      </c>
      <c r="AL136" s="15" t="e">
        <f t="shared" si="43"/>
        <v>#DIV/0!</v>
      </c>
      <c r="AM136" s="15">
        <f t="shared" si="38"/>
        <v>0</v>
      </c>
      <c r="AN136" s="15" t="e">
        <f t="shared" si="39"/>
        <v>#DIV/0!</v>
      </c>
    </row>
    <row r="137" spans="18:40" ht="13.8" x14ac:dyDescent="0.3">
      <c r="R137" s="51">
        <v>62.5</v>
      </c>
      <c r="S137" s="38">
        <f t="shared" si="33"/>
        <v>125</v>
      </c>
      <c r="T137" s="52">
        <f t="shared" si="23"/>
        <v>2.1816615649929121</v>
      </c>
      <c r="U137" s="52">
        <f t="shared" si="40"/>
        <v>0.88701083317822171</v>
      </c>
      <c r="V137" s="52">
        <f t="shared" si="41"/>
        <v>0.81915204428899169</v>
      </c>
      <c r="W137" s="52">
        <f t="shared" si="34"/>
        <v>0.46174861323503386</v>
      </c>
      <c r="X137" s="52">
        <f t="shared" si="35"/>
        <v>0</v>
      </c>
      <c r="Y137" s="15">
        <f t="shared" si="24"/>
        <v>0</v>
      </c>
      <c r="Z137" s="52">
        <f t="shared" si="25"/>
        <v>0</v>
      </c>
      <c r="AA137" s="52">
        <f t="shared" si="26"/>
        <v>0</v>
      </c>
      <c r="AB137" s="15" t="e">
        <f t="shared" si="27"/>
        <v>#DIV/0!</v>
      </c>
      <c r="AC137" s="15" t="e">
        <f t="shared" si="36"/>
        <v>#DIV/0!</v>
      </c>
      <c r="AD137" s="15" t="e">
        <f t="shared" si="28"/>
        <v>#DIV/0!</v>
      </c>
      <c r="AE137" s="15" t="e">
        <f t="shared" si="29"/>
        <v>#DIV/0!</v>
      </c>
      <c r="AF137" s="15" t="e">
        <f t="shared" si="30"/>
        <v>#DIV/0!</v>
      </c>
      <c r="AG137" s="15" t="e">
        <f t="shared" si="31"/>
        <v>#DIV/0!</v>
      </c>
      <c r="AH137" s="53" t="e">
        <f t="shared" si="32"/>
        <v>#DIV/0!</v>
      </c>
      <c r="AI137" s="102" t="e">
        <f t="shared" si="37"/>
        <v>#DIV/0!</v>
      </c>
      <c r="AJ137" s="15"/>
      <c r="AK137" s="15" t="e">
        <f t="shared" si="42"/>
        <v>#DIV/0!</v>
      </c>
      <c r="AL137" s="15" t="e">
        <f t="shared" si="43"/>
        <v>#DIV/0!</v>
      </c>
      <c r="AM137" s="15">
        <f t="shared" si="38"/>
        <v>0</v>
      </c>
      <c r="AN137" s="15" t="e">
        <f t="shared" si="39"/>
        <v>#DIV/0!</v>
      </c>
    </row>
    <row r="138" spans="18:40" ht="13.8" x14ac:dyDescent="0.3">
      <c r="R138" s="51">
        <v>63</v>
      </c>
      <c r="S138" s="38">
        <f t="shared" si="33"/>
        <v>126</v>
      </c>
      <c r="T138" s="52">
        <f t="shared" si="23"/>
        <v>2.1991148575128552</v>
      </c>
      <c r="U138" s="52">
        <f t="shared" si="40"/>
        <v>0.89100652418836779</v>
      </c>
      <c r="V138" s="52">
        <f t="shared" si="41"/>
        <v>0.80901699437494745</v>
      </c>
      <c r="W138" s="52">
        <f t="shared" si="34"/>
        <v>0.4539904997395468</v>
      </c>
      <c r="X138" s="52">
        <f t="shared" si="35"/>
        <v>0</v>
      </c>
      <c r="Y138" s="15">
        <f t="shared" si="24"/>
        <v>0</v>
      </c>
      <c r="Z138" s="52">
        <f t="shared" si="25"/>
        <v>0</v>
      </c>
      <c r="AA138" s="52">
        <f t="shared" si="26"/>
        <v>0</v>
      </c>
      <c r="AB138" s="15" t="e">
        <f t="shared" si="27"/>
        <v>#DIV/0!</v>
      </c>
      <c r="AC138" s="15" t="e">
        <f t="shared" si="36"/>
        <v>#DIV/0!</v>
      </c>
      <c r="AD138" s="15" t="e">
        <f t="shared" si="28"/>
        <v>#DIV/0!</v>
      </c>
      <c r="AE138" s="15" t="e">
        <f t="shared" si="29"/>
        <v>#DIV/0!</v>
      </c>
      <c r="AF138" s="15" t="e">
        <f t="shared" si="30"/>
        <v>#DIV/0!</v>
      </c>
      <c r="AG138" s="15" t="e">
        <f t="shared" si="31"/>
        <v>#DIV/0!</v>
      </c>
      <c r="AH138" s="53" t="e">
        <f t="shared" si="32"/>
        <v>#DIV/0!</v>
      </c>
      <c r="AI138" s="102" t="e">
        <f t="shared" si="37"/>
        <v>#DIV/0!</v>
      </c>
      <c r="AJ138" s="15"/>
      <c r="AK138" s="15" t="e">
        <f t="shared" si="42"/>
        <v>#DIV/0!</v>
      </c>
      <c r="AL138" s="15" t="e">
        <f t="shared" si="43"/>
        <v>#DIV/0!</v>
      </c>
      <c r="AM138" s="15">
        <f t="shared" si="38"/>
        <v>0</v>
      </c>
      <c r="AN138" s="15" t="e">
        <f t="shared" si="39"/>
        <v>#DIV/0!</v>
      </c>
    </row>
    <row r="139" spans="18:40" ht="13.8" x14ac:dyDescent="0.3">
      <c r="R139" s="51">
        <v>63.5</v>
      </c>
      <c r="S139" s="38">
        <f t="shared" si="33"/>
        <v>127</v>
      </c>
      <c r="T139" s="52">
        <f t="shared" si="23"/>
        <v>2.2165681500327987</v>
      </c>
      <c r="U139" s="52">
        <f t="shared" si="40"/>
        <v>0.89493436160202511</v>
      </c>
      <c r="V139" s="52">
        <f t="shared" si="41"/>
        <v>0.79863551004729272</v>
      </c>
      <c r="W139" s="52">
        <f t="shared" si="34"/>
        <v>0.44619781310980872</v>
      </c>
      <c r="X139" s="52">
        <f t="shared" si="35"/>
        <v>0</v>
      </c>
      <c r="Y139" s="15">
        <f t="shared" si="24"/>
        <v>0</v>
      </c>
      <c r="Z139" s="52">
        <f t="shared" si="25"/>
        <v>0</v>
      </c>
      <c r="AA139" s="52">
        <f t="shared" si="26"/>
        <v>0</v>
      </c>
      <c r="AB139" s="15" t="e">
        <f t="shared" si="27"/>
        <v>#DIV/0!</v>
      </c>
      <c r="AC139" s="15" t="e">
        <f t="shared" si="36"/>
        <v>#DIV/0!</v>
      </c>
      <c r="AD139" s="15" t="e">
        <f t="shared" si="28"/>
        <v>#DIV/0!</v>
      </c>
      <c r="AE139" s="15" t="e">
        <f t="shared" si="29"/>
        <v>#DIV/0!</v>
      </c>
      <c r="AF139" s="15" t="e">
        <f t="shared" si="30"/>
        <v>#DIV/0!</v>
      </c>
      <c r="AG139" s="15" t="e">
        <f t="shared" si="31"/>
        <v>#DIV/0!</v>
      </c>
      <c r="AH139" s="53" t="e">
        <f t="shared" si="32"/>
        <v>#DIV/0!</v>
      </c>
      <c r="AI139" s="102" t="e">
        <f t="shared" si="37"/>
        <v>#DIV/0!</v>
      </c>
      <c r="AJ139" s="15"/>
      <c r="AK139" s="15" t="e">
        <f t="shared" si="42"/>
        <v>#DIV/0!</v>
      </c>
      <c r="AL139" s="15" t="e">
        <f t="shared" si="43"/>
        <v>#DIV/0!</v>
      </c>
      <c r="AM139" s="15">
        <f t="shared" si="38"/>
        <v>0</v>
      </c>
      <c r="AN139" s="15" t="e">
        <f t="shared" si="39"/>
        <v>#DIV/0!</v>
      </c>
    </row>
    <row r="140" spans="18:40" ht="13.8" x14ac:dyDescent="0.3">
      <c r="R140" s="51">
        <v>64</v>
      </c>
      <c r="S140" s="38">
        <f t="shared" si="33"/>
        <v>128</v>
      </c>
      <c r="T140" s="52">
        <f t="shared" ref="T140:T203" si="44">S140*(PI()/180)</f>
        <v>2.2340214425527418</v>
      </c>
      <c r="U140" s="52">
        <f t="shared" si="40"/>
        <v>0.89879404629916704</v>
      </c>
      <c r="V140" s="52">
        <f t="shared" si="41"/>
        <v>0.78801075360672201</v>
      </c>
      <c r="W140" s="52">
        <f t="shared" si="34"/>
        <v>0.43837114678907746</v>
      </c>
      <c r="X140" s="52">
        <f t="shared" si="35"/>
        <v>0</v>
      </c>
      <c r="Y140" s="15">
        <f t="shared" ref="Y140:Y203" si="45">0.5*$W$4^2*(T140-V140)</f>
        <v>0</v>
      </c>
      <c r="Z140" s="52">
        <f t="shared" ref="Z140:Z203" si="46">$W$4*(1-W140)</f>
        <v>0</v>
      </c>
      <c r="AA140" s="52">
        <f t="shared" ref="AA140:AA203" si="47">$W$4*T140</f>
        <v>0</v>
      </c>
      <c r="AB140" s="15" t="e">
        <f t="shared" ref="AB140:AB203" si="48">Z140/$W$5</f>
        <v>#DIV/0!</v>
      </c>
      <c r="AC140" s="15" t="e">
        <f t="shared" si="36"/>
        <v>#DIV/0!</v>
      </c>
      <c r="AD140" s="15" t="e">
        <f t="shared" ref="AD140:AD203" si="49">(POWER(AC140,2/3)*Y140)/(POWER($W$8,2/3)*$W$6)</f>
        <v>#DIV/0!</v>
      </c>
      <c r="AE140" s="15" t="e">
        <f t="shared" ref="AE140:AE203" si="50">SQRT(AC140/$W$8)*POWER(AC140/$W$8,1/8)</f>
        <v>#DIV/0!</v>
      </c>
      <c r="AF140" s="15" t="e">
        <f t="shared" ref="AF140:AF203" si="51">AE140*(Y140/$W$6)</f>
        <v>#DIV/0!</v>
      </c>
      <c r="AG140" s="15" t="e">
        <f t="shared" ref="AG140:AG203" si="52">Y140*$D$5*SQRT($D$6)*POWER(AC140,2/3)</f>
        <v>#DIV/0!</v>
      </c>
      <c r="AH140" s="53" t="e">
        <f t="shared" ref="AH140:AH203" si="53">-2*SQRT(8*9.81)*SQRT(AC140*$D$6)*LOG10(($AA$4/(3.71*4*AC140))+((2.51*$AA$5)/(4*AC140*SQRT(8*9.81)*SQRT(AC140*$D$6))))*Y140</f>
        <v>#DIV/0!</v>
      </c>
      <c r="AI140" s="102" t="e">
        <f t="shared" si="37"/>
        <v>#DIV/0!</v>
      </c>
      <c r="AJ140" s="15"/>
      <c r="AK140" s="15" t="e">
        <f t="shared" si="42"/>
        <v>#DIV/0!</v>
      </c>
      <c r="AL140" s="15" t="e">
        <f t="shared" si="43"/>
        <v>#DIV/0!</v>
      </c>
      <c r="AM140" s="15">
        <f t="shared" si="38"/>
        <v>0</v>
      </c>
      <c r="AN140" s="15" t="e">
        <f t="shared" si="39"/>
        <v>#DIV/0!</v>
      </c>
    </row>
    <row r="141" spans="18:40" ht="13.8" x14ac:dyDescent="0.3">
      <c r="R141" s="51">
        <v>64.5</v>
      </c>
      <c r="S141" s="38">
        <f t="shared" ref="S141:S204" si="54">2*R141</f>
        <v>129</v>
      </c>
      <c r="T141" s="52">
        <f t="shared" si="44"/>
        <v>2.2514747350726849</v>
      </c>
      <c r="U141" s="52">
        <f t="shared" si="40"/>
        <v>0.90258528434986052</v>
      </c>
      <c r="V141" s="52">
        <f t="shared" si="41"/>
        <v>0.77714596145697101</v>
      </c>
      <c r="W141" s="52">
        <f t="shared" ref="W141:W204" si="55">COS(T141/2)</f>
        <v>0.43051109680829525</v>
      </c>
      <c r="X141" s="52">
        <f t="shared" ref="X141:X204" si="56">2*$W$4*U141</f>
        <v>0</v>
      </c>
      <c r="Y141" s="15">
        <f t="shared" si="45"/>
        <v>0</v>
      </c>
      <c r="Z141" s="52">
        <f t="shared" si="46"/>
        <v>0</v>
      </c>
      <c r="AA141" s="52">
        <f t="shared" si="47"/>
        <v>0</v>
      </c>
      <c r="AB141" s="15" t="e">
        <f t="shared" si="48"/>
        <v>#DIV/0!</v>
      </c>
      <c r="AC141" s="15" t="e">
        <f t="shared" ref="AC141:AC204" si="57">Y141/AA141</f>
        <v>#DIV/0!</v>
      </c>
      <c r="AD141" s="15" t="e">
        <f t="shared" si="49"/>
        <v>#DIV/0!</v>
      </c>
      <c r="AE141" s="15" t="e">
        <f t="shared" si="50"/>
        <v>#DIV/0!</v>
      </c>
      <c r="AF141" s="15" t="e">
        <f t="shared" si="51"/>
        <v>#DIV/0!</v>
      </c>
      <c r="AG141" s="15" t="e">
        <f t="shared" si="52"/>
        <v>#DIV/0!</v>
      </c>
      <c r="AH141" s="53" t="e">
        <f t="shared" si="53"/>
        <v>#DIV/0!</v>
      </c>
      <c r="AI141" s="102" t="e">
        <f t="shared" ref="AI141:AI204" si="58">SQRT((AH141^2*X141)/(9.81*Y141^3))</f>
        <v>#DIV/0!</v>
      </c>
      <c r="AJ141" s="15"/>
      <c r="AK141" s="15" t="e">
        <f t="shared" si="42"/>
        <v>#DIV/0!</v>
      </c>
      <c r="AL141" s="15" t="e">
        <f t="shared" si="43"/>
        <v>#DIV/0!</v>
      </c>
      <c r="AM141" s="15">
        <f t="shared" ref="AM141:AM204" si="59">Y141</f>
        <v>0</v>
      </c>
      <c r="AN141" s="15" t="e">
        <f t="shared" ref="AN141:AN204" si="60">AC141</f>
        <v>#DIV/0!</v>
      </c>
    </row>
    <row r="142" spans="18:40" ht="13.8" x14ac:dyDescent="0.3">
      <c r="R142" s="51">
        <v>65</v>
      </c>
      <c r="S142" s="38">
        <f t="shared" si="54"/>
        <v>130</v>
      </c>
      <c r="T142" s="52">
        <f t="shared" si="44"/>
        <v>2.2689280275926285</v>
      </c>
      <c r="U142" s="52">
        <f t="shared" si="40"/>
        <v>0.90630778703664994</v>
      </c>
      <c r="V142" s="52">
        <f t="shared" si="41"/>
        <v>0.76604444311897801</v>
      </c>
      <c r="W142" s="52">
        <f t="shared" si="55"/>
        <v>0.42261826174069944</v>
      </c>
      <c r="X142" s="52">
        <f t="shared" si="56"/>
        <v>0</v>
      </c>
      <c r="Y142" s="15">
        <f t="shared" si="45"/>
        <v>0</v>
      </c>
      <c r="Z142" s="52">
        <f t="shared" si="46"/>
        <v>0</v>
      </c>
      <c r="AA142" s="52">
        <f t="shared" si="47"/>
        <v>0</v>
      </c>
      <c r="AB142" s="15" t="e">
        <f t="shared" si="48"/>
        <v>#DIV/0!</v>
      </c>
      <c r="AC142" s="15" t="e">
        <f t="shared" si="57"/>
        <v>#DIV/0!</v>
      </c>
      <c r="AD142" s="15" t="e">
        <f t="shared" si="49"/>
        <v>#DIV/0!</v>
      </c>
      <c r="AE142" s="15" t="e">
        <f t="shared" si="50"/>
        <v>#DIV/0!</v>
      </c>
      <c r="AF142" s="15" t="e">
        <f t="shared" si="51"/>
        <v>#DIV/0!</v>
      </c>
      <c r="AG142" s="15" t="e">
        <f t="shared" si="52"/>
        <v>#DIV/0!</v>
      </c>
      <c r="AH142" s="53" t="e">
        <f t="shared" si="53"/>
        <v>#DIV/0!</v>
      </c>
      <c r="AI142" s="102" t="e">
        <f t="shared" si="58"/>
        <v>#DIV/0!</v>
      </c>
      <c r="AJ142" s="15"/>
      <c r="AK142" s="15" t="e">
        <f t="shared" si="42"/>
        <v>#DIV/0!</v>
      </c>
      <c r="AL142" s="15" t="e">
        <f t="shared" si="43"/>
        <v>#DIV/0!</v>
      </c>
      <c r="AM142" s="15">
        <f t="shared" si="59"/>
        <v>0</v>
      </c>
      <c r="AN142" s="15" t="e">
        <f t="shared" si="60"/>
        <v>#DIV/0!</v>
      </c>
    </row>
    <row r="143" spans="18:40" ht="13.8" x14ac:dyDescent="0.3">
      <c r="R143" s="51">
        <v>65.5</v>
      </c>
      <c r="S143" s="38">
        <f t="shared" si="54"/>
        <v>131</v>
      </c>
      <c r="T143" s="52">
        <f t="shared" si="44"/>
        <v>2.2863813201125716</v>
      </c>
      <c r="U143" s="52">
        <f t="shared" ref="U143:U206" si="61">SIN(T143/2)</f>
        <v>0.90996127087654322</v>
      </c>
      <c r="V143" s="52">
        <f t="shared" ref="V143:V206" si="62">SIN(T143)</f>
        <v>0.75470958022277213</v>
      </c>
      <c r="W143" s="52">
        <f t="shared" si="55"/>
        <v>0.41469324265623914</v>
      </c>
      <c r="X143" s="52">
        <f t="shared" si="56"/>
        <v>0</v>
      </c>
      <c r="Y143" s="15">
        <f t="shared" si="45"/>
        <v>0</v>
      </c>
      <c r="Z143" s="52">
        <f t="shared" si="46"/>
        <v>0</v>
      </c>
      <c r="AA143" s="52">
        <f t="shared" si="47"/>
        <v>0</v>
      </c>
      <c r="AB143" s="15" t="e">
        <f t="shared" si="48"/>
        <v>#DIV/0!</v>
      </c>
      <c r="AC143" s="15" t="e">
        <f t="shared" si="57"/>
        <v>#DIV/0!</v>
      </c>
      <c r="AD143" s="15" t="e">
        <f t="shared" si="49"/>
        <v>#DIV/0!</v>
      </c>
      <c r="AE143" s="15" t="e">
        <f t="shared" si="50"/>
        <v>#DIV/0!</v>
      </c>
      <c r="AF143" s="15" t="e">
        <f t="shared" si="51"/>
        <v>#DIV/0!</v>
      </c>
      <c r="AG143" s="15" t="e">
        <f t="shared" si="52"/>
        <v>#DIV/0!</v>
      </c>
      <c r="AH143" s="53" t="e">
        <f t="shared" si="53"/>
        <v>#DIV/0!</v>
      </c>
      <c r="AI143" s="102" t="e">
        <f t="shared" si="58"/>
        <v>#DIV/0!</v>
      </c>
      <c r="AJ143" s="15"/>
      <c r="AK143" s="15" t="e">
        <f t="shared" si="42"/>
        <v>#DIV/0!</v>
      </c>
      <c r="AL143" s="15" t="e">
        <f t="shared" si="43"/>
        <v>#DIV/0!</v>
      </c>
      <c r="AM143" s="15">
        <f t="shared" si="59"/>
        <v>0</v>
      </c>
      <c r="AN143" s="15" t="e">
        <f t="shared" si="60"/>
        <v>#DIV/0!</v>
      </c>
    </row>
    <row r="144" spans="18:40" ht="13.8" x14ac:dyDescent="0.3">
      <c r="R144" s="51">
        <v>66</v>
      </c>
      <c r="S144" s="38">
        <f t="shared" si="54"/>
        <v>132</v>
      </c>
      <c r="T144" s="52">
        <f t="shared" si="44"/>
        <v>2.3038346126325151</v>
      </c>
      <c r="U144" s="52">
        <f t="shared" si="61"/>
        <v>0.91354545764260087</v>
      </c>
      <c r="V144" s="52">
        <f t="shared" si="62"/>
        <v>0.74314482547739424</v>
      </c>
      <c r="W144" s="52">
        <f t="shared" si="55"/>
        <v>0.40673664307580021</v>
      </c>
      <c r="X144" s="52">
        <f t="shared" si="56"/>
        <v>0</v>
      </c>
      <c r="Y144" s="15">
        <f t="shared" si="45"/>
        <v>0</v>
      </c>
      <c r="Z144" s="52">
        <f t="shared" si="46"/>
        <v>0</v>
      </c>
      <c r="AA144" s="52">
        <f t="shared" si="47"/>
        <v>0</v>
      </c>
      <c r="AB144" s="15" t="e">
        <f t="shared" si="48"/>
        <v>#DIV/0!</v>
      </c>
      <c r="AC144" s="15" t="e">
        <f t="shared" si="57"/>
        <v>#DIV/0!</v>
      </c>
      <c r="AD144" s="15" t="e">
        <f t="shared" si="49"/>
        <v>#DIV/0!</v>
      </c>
      <c r="AE144" s="15" t="e">
        <f t="shared" si="50"/>
        <v>#DIV/0!</v>
      </c>
      <c r="AF144" s="15" t="e">
        <f t="shared" si="51"/>
        <v>#DIV/0!</v>
      </c>
      <c r="AG144" s="15" t="e">
        <f t="shared" si="52"/>
        <v>#DIV/0!</v>
      </c>
      <c r="AH144" s="53" t="e">
        <f t="shared" si="53"/>
        <v>#DIV/0!</v>
      </c>
      <c r="AI144" s="102" t="e">
        <f t="shared" si="58"/>
        <v>#DIV/0!</v>
      </c>
      <c r="AJ144" s="15"/>
      <c r="AK144" s="15" t="e">
        <f t="shared" si="42"/>
        <v>#DIV/0!</v>
      </c>
      <c r="AL144" s="15" t="e">
        <f t="shared" si="43"/>
        <v>#DIV/0!</v>
      </c>
      <c r="AM144" s="15">
        <f t="shared" si="59"/>
        <v>0</v>
      </c>
      <c r="AN144" s="15" t="e">
        <f t="shared" si="60"/>
        <v>#DIV/0!</v>
      </c>
    </row>
    <row r="145" spans="18:40" ht="13.8" x14ac:dyDescent="0.3">
      <c r="R145" s="51">
        <v>66.5</v>
      </c>
      <c r="S145" s="38">
        <f t="shared" si="54"/>
        <v>133</v>
      </c>
      <c r="T145" s="52">
        <f t="shared" si="44"/>
        <v>2.3212879051524582</v>
      </c>
      <c r="U145" s="52">
        <f t="shared" si="61"/>
        <v>0.91706007438512405</v>
      </c>
      <c r="V145" s="52">
        <f t="shared" si="62"/>
        <v>0.73135370161917057</v>
      </c>
      <c r="W145" s="52">
        <f t="shared" si="55"/>
        <v>0.39874906892524625</v>
      </c>
      <c r="X145" s="52">
        <f t="shared" si="56"/>
        <v>0</v>
      </c>
      <c r="Y145" s="15">
        <f t="shared" si="45"/>
        <v>0</v>
      </c>
      <c r="Z145" s="52">
        <f t="shared" si="46"/>
        <v>0</v>
      </c>
      <c r="AA145" s="52">
        <f t="shared" si="47"/>
        <v>0</v>
      </c>
      <c r="AB145" s="15" t="e">
        <f t="shared" si="48"/>
        <v>#DIV/0!</v>
      </c>
      <c r="AC145" s="15" t="e">
        <f t="shared" si="57"/>
        <v>#DIV/0!</v>
      </c>
      <c r="AD145" s="15" t="e">
        <f t="shared" si="49"/>
        <v>#DIV/0!</v>
      </c>
      <c r="AE145" s="15" t="e">
        <f t="shared" si="50"/>
        <v>#DIV/0!</v>
      </c>
      <c r="AF145" s="15" t="e">
        <f t="shared" si="51"/>
        <v>#DIV/0!</v>
      </c>
      <c r="AG145" s="15" t="e">
        <f t="shared" si="52"/>
        <v>#DIV/0!</v>
      </c>
      <c r="AH145" s="53" t="e">
        <f t="shared" si="53"/>
        <v>#DIV/0!</v>
      </c>
      <c r="AI145" s="102" t="e">
        <f t="shared" si="58"/>
        <v>#DIV/0!</v>
      </c>
      <c r="AJ145" s="15"/>
      <c r="AK145" s="15" t="e">
        <f t="shared" si="42"/>
        <v>#DIV/0!</v>
      </c>
      <c r="AL145" s="15" t="e">
        <f t="shared" si="43"/>
        <v>#DIV/0!</v>
      </c>
      <c r="AM145" s="15">
        <f t="shared" si="59"/>
        <v>0</v>
      </c>
      <c r="AN145" s="15" t="e">
        <f t="shared" si="60"/>
        <v>#DIV/0!</v>
      </c>
    </row>
    <row r="146" spans="18:40" ht="13.8" x14ac:dyDescent="0.3">
      <c r="R146" s="51">
        <v>67</v>
      </c>
      <c r="S146" s="38">
        <f t="shared" si="54"/>
        <v>134</v>
      </c>
      <c r="T146" s="52">
        <f t="shared" si="44"/>
        <v>2.3387411976724017</v>
      </c>
      <c r="U146" s="52">
        <f t="shared" si="61"/>
        <v>0.92050485345244037</v>
      </c>
      <c r="V146" s="52">
        <f t="shared" si="62"/>
        <v>0.71933980033865108</v>
      </c>
      <c r="W146" s="52">
        <f t="shared" si="55"/>
        <v>0.39073112848927372</v>
      </c>
      <c r="X146" s="52">
        <f t="shared" si="56"/>
        <v>0</v>
      </c>
      <c r="Y146" s="15">
        <f t="shared" si="45"/>
        <v>0</v>
      </c>
      <c r="Z146" s="52">
        <f t="shared" si="46"/>
        <v>0</v>
      </c>
      <c r="AA146" s="52">
        <f t="shared" si="47"/>
        <v>0</v>
      </c>
      <c r="AB146" s="15" t="e">
        <f t="shared" si="48"/>
        <v>#DIV/0!</v>
      </c>
      <c r="AC146" s="15" t="e">
        <f t="shared" si="57"/>
        <v>#DIV/0!</v>
      </c>
      <c r="AD146" s="15" t="e">
        <f t="shared" si="49"/>
        <v>#DIV/0!</v>
      </c>
      <c r="AE146" s="15" t="e">
        <f t="shared" si="50"/>
        <v>#DIV/0!</v>
      </c>
      <c r="AF146" s="15" t="e">
        <f t="shared" si="51"/>
        <v>#DIV/0!</v>
      </c>
      <c r="AG146" s="15" t="e">
        <f t="shared" si="52"/>
        <v>#DIV/0!</v>
      </c>
      <c r="AH146" s="53" t="e">
        <f t="shared" si="53"/>
        <v>#DIV/0!</v>
      </c>
      <c r="AI146" s="102" t="e">
        <f t="shared" si="58"/>
        <v>#DIV/0!</v>
      </c>
      <c r="AJ146" s="15"/>
      <c r="AK146" s="15" t="e">
        <f t="shared" si="42"/>
        <v>#DIV/0!</v>
      </c>
      <c r="AL146" s="15" t="e">
        <f t="shared" si="43"/>
        <v>#DIV/0!</v>
      </c>
      <c r="AM146" s="15">
        <f t="shared" si="59"/>
        <v>0</v>
      </c>
      <c r="AN146" s="15" t="e">
        <f t="shared" si="60"/>
        <v>#DIV/0!</v>
      </c>
    </row>
    <row r="147" spans="18:40" ht="13.8" x14ac:dyDescent="0.3">
      <c r="R147" s="51">
        <v>67.5</v>
      </c>
      <c r="S147" s="38">
        <f t="shared" si="54"/>
        <v>135</v>
      </c>
      <c r="T147" s="52">
        <f t="shared" si="44"/>
        <v>2.3561944901923448</v>
      </c>
      <c r="U147" s="52">
        <f t="shared" si="61"/>
        <v>0.92387953251128674</v>
      </c>
      <c r="V147" s="52">
        <f t="shared" si="62"/>
        <v>0.70710678118654757</v>
      </c>
      <c r="W147" s="52">
        <f t="shared" si="55"/>
        <v>0.38268343236508984</v>
      </c>
      <c r="X147" s="52">
        <f t="shared" si="56"/>
        <v>0</v>
      </c>
      <c r="Y147" s="15">
        <f t="shared" si="45"/>
        <v>0</v>
      </c>
      <c r="Z147" s="52">
        <f t="shared" si="46"/>
        <v>0</v>
      </c>
      <c r="AA147" s="52">
        <f t="shared" si="47"/>
        <v>0</v>
      </c>
      <c r="AB147" s="15" t="e">
        <f t="shared" si="48"/>
        <v>#DIV/0!</v>
      </c>
      <c r="AC147" s="15" t="e">
        <f t="shared" si="57"/>
        <v>#DIV/0!</v>
      </c>
      <c r="AD147" s="15" t="e">
        <f t="shared" si="49"/>
        <v>#DIV/0!</v>
      </c>
      <c r="AE147" s="15" t="e">
        <f t="shared" si="50"/>
        <v>#DIV/0!</v>
      </c>
      <c r="AF147" s="15" t="e">
        <f t="shared" si="51"/>
        <v>#DIV/0!</v>
      </c>
      <c r="AG147" s="15" t="e">
        <f t="shared" si="52"/>
        <v>#DIV/0!</v>
      </c>
      <c r="AH147" s="53" t="e">
        <f t="shared" si="53"/>
        <v>#DIV/0!</v>
      </c>
      <c r="AI147" s="102" t="e">
        <f t="shared" si="58"/>
        <v>#DIV/0!</v>
      </c>
      <c r="AJ147" s="15"/>
      <c r="AK147" s="15" t="e">
        <f t="shared" si="42"/>
        <v>#DIV/0!</v>
      </c>
      <c r="AL147" s="15" t="e">
        <f t="shared" si="43"/>
        <v>#DIV/0!</v>
      </c>
      <c r="AM147" s="15">
        <f t="shared" si="59"/>
        <v>0</v>
      </c>
      <c r="AN147" s="15" t="e">
        <f t="shared" si="60"/>
        <v>#DIV/0!</v>
      </c>
    </row>
    <row r="148" spans="18:40" ht="13.8" x14ac:dyDescent="0.3">
      <c r="R148" s="51">
        <v>68</v>
      </c>
      <c r="S148" s="38">
        <f t="shared" si="54"/>
        <v>136</v>
      </c>
      <c r="T148" s="52">
        <f t="shared" si="44"/>
        <v>2.3736477827122884</v>
      </c>
      <c r="U148" s="52">
        <f t="shared" si="61"/>
        <v>0.92718385456678742</v>
      </c>
      <c r="V148" s="52">
        <f t="shared" si="62"/>
        <v>0.69465837045899714</v>
      </c>
      <c r="W148" s="52">
        <f t="shared" si="55"/>
        <v>0.37460659341591196</v>
      </c>
      <c r="X148" s="52">
        <f t="shared" si="56"/>
        <v>0</v>
      </c>
      <c r="Y148" s="15">
        <f t="shared" si="45"/>
        <v>0</v>
      </c>
      <c r="Z148" s="52">
        <f t="shared" si="46"/>
        <v>0</v>
      </c>
      <c r="AA148" s="52">
        <f t="shared" si="47"/>
        <v>0</v>
      </c>
      <c r="AB148" s="15" t="e">
        <f t="shared" si="48"/>
        <v>#DIV/0!</v>
      </c>
      <c r="AC148" s="15" t="e">
        <f t="shared" si="57"/>
        <v>#DIV/0!</v>
      </c>
      <c r="AD148" s="15" t="e">
        <f t="shared" si="49"/>
        <v>#DIV/0!</v>
      </c>
      <c r="AE148" s="15" t="e">
        <f t="shared" si="50"/>
        <v>#DIV/0!</v>
      </c>
      <c r="AF148" s="15" t="e">
        <f t="shared" si="51"/>
        <v>#DIV/0!</v>
      </c>
      <c r="AG148" s="15" t="e">
        <f t="shared" si="52"/>
        <v>#DIV/0!</v>
      </c>
      <c r="AH148" s="53" t="e">
        <f t="shared" si="53"/>
        <v>#DIV/0!</v>
      </c>
      <c r="AI148" s="102" t="e">
        <f t="shared" si="58"/>
        <v>#DIV/0!</v>
      </c>
      <c r="AJ148" s="15"/>
      <c r="AK148" s="15" t="e">
        <f t="shared" si="42"/>
        <v>#DIV/0!</v>
      </c>
      <c r="AL148" s="15" t="e">
        <f t="shared" si="43"/>
        <v>#DIV/0!</v>
      </c>
      <c r="AM148" s="15">
        <f t="shared" si="59"/>
        <v>0</v>
      </c>
      <c r="AN148" s="15" t="e">
        <f t="shared" si="60"/>
        <v>#DIV/0!</v>
      </c>
    </row>
    <row r="149" spans="18:40" ht="13.8" x14ac:dyDescent="0.3">
      <c r="R149" s="51">
        <v>68.5</v>
      </c>
      <c r="S149" s="38">
        <f t="shared" si="54"/>
        <v>137</v>
      </c>
      <c r="T149" s="52">
        <f t="shared" si="44"/>
        <v>2.3911010752322315</v>
      </c>
      <c r="U149" s="52">
        <f t="shared" si="61"/>
        <v>0.93041756798202457</v>
      </c>
      <c r="V149" s="52">
        <f t="shared" si="62"/>
        <v>0.68199836006249859</v>
      </c>
      <c r="W149" s="52">
        <f t="shared" si="55"/>
        <v>0.3665012267242973</v>
      </c>
      <c r="X149" s="52">
        <f t="shared" si="56"/>
        <v>0</v>
      </c>
      <c r="Y149" s="15">
        <f t="shared" si="45"/>
        <v>0</v>
      </c>
      <c r="Z149" s="52">
        <f t="shared" si="46"/>
        <v>0</v>
      </c>
      <c r="AA149" s="52">
        <f t="shared" si="47"/>
        <v>0</v>
      </c>
      <c r="AB149" s="15" t="e">
        <f t="shared" si="48"/>
        <v>#DIV/0!</v>
      </c>
      <c r="AC149" s="15" t="e">
        <f t="shared" si="57"/>
        <v>#DIV/0!</v>
      </c>
      <c r="AD149" s="15" t="e">
        <f t="shared" si="49"/>
        <v>#DIV/0!</v>
      </c>
      <c r="AE149" s="15" t="e">
        <f t="shared" si="50"/>
        <v>#DIV/0!</v>
      </c>
      <c r="AF149" s="15" t="e">
        <f t="shared" si="51"/>
        <v>#DIV/0!</v>
      </c>
      <c r="AG149" s="15" t="e">
        <f t="shared" si="52"/>
        <v>#DIV/0!</v>
      </c>
      <c r="AH149" s="53" t="e">
        <f t="shared" si="53"/>
        <v>#DIV/0!</v>
      </c>
      <c r="AI149" s="102" t="e">
        <f t="shared" si="58"/>
        <v>#DIV/0!</v>
      </c>
      <c r="AJ149" s="15"/>
      <c r="AK149" s="15" t="e">
        <f t="shared" si="42"/>
        <v>#DIV/0!</v>
      </c>
      <c r="AL149" s="15" t="e">
        <f t="shared" si="43"/>
        <v>#DIV/0!</v>
      </c>
      <c r="AM149" s="15">
        <f t="shared" si="59"/>
        <v>0</v>
      </c>
      <c r="AN149" s="15" t="e">
        <f t="shared" si="60"/>
        <v>#DIV/0!</v>
      </c>
    </row>
    <row r="150" spans="18:40" ht="13.8" x14ac:dyDescent="0.3">
      <c r="R150" s="51">
        <v>69</v>
      </c>
      <c r="S150" s="38">
        <f t="shared" si="54"/>
        <v>138</v>
      </c>
      <c r="T150" s="52">
        <f t="shared" si="44"/>
        <v>2.4085543677521746</v>
      </c>
      <c r="U150" s="52">
        <f t="shared" si="61"/>
        <v>0.93358042649720174</v>
      </c>
      <c r="V150" s="52">
        <f t="shared" si="62"/>
        <v>0.66913060635885835</v>
      </c>
      <c r="W150" s="52">
        <f t="shared" si="55"/>
        <v>0.35836794954530038</v>
      </c>
      <c r="X150" s="52">
        <f t="shared" si="56"/>
        <v>0</v>
      </c>
      <c r="Y150" s="15">
        <f t="shared" si="45"/>
        <v>0</v>
      </c>
      <c r="Z150" s="52">
        <f t="shared" si="46"/>
        <v>0</v>
      </c>
      <c r="AA150" s="52">
        <f t="shared" si="47"/>
        <v>0</v>
      </c>
      <c r="AB150" s="15" t="e">
        <f t="shared" si="48"/>
        <v>#DIV/0!</v>
      </c>
      <c r="AC150" s="15" t="e">
        <f t="shared" si="57"/>
        <v>#DIV/0!</v>
      </c>
      <c r="AD150" s="15" t="e">
        <f t="shared" si="49"/>
        <v>#DIV/0!</v>
      </c>
      <c r="AE150" s="15" t="e">
        <f t="shared" si="50"/>
        <v>#DIV/0!</v>
      </c>
      <c r="AF150" s="15" t="e">
        <f t="shared" si="51"/>
        <v>#DIV/0!</v>
      </c>
      <c r="AG150" s="15" t="e">
        <f t="shared" si="52"/>
        <v>#DIV/0!</v>
      </c>
      <c r="AH150" s="53" t="e">
        <f t="shared" si="53"/>
        <v>#DIV/0!</v>
      </c>
      <c r="AI150" s="102" t="e">
        <f t="shared" si="58"/>
        <v>#DIV/0!</v>
      </c>
      <c r="AJ150" s="15"/>
      <c r="AK150" s="15" t="e">
        <f t="shared" si="42"/>
        <v>#DIV/0!</v>
      </c>
      <c r="AL150" s="15" t="e">
        <f t="shared" si="43"/>
        <v>#DIV/0!</v>
      </c>
      <c r="AM150" s="15">
        <f t="shared" si="59"/>
        <v>0</v>
      </c>
      <c r="AN150" s="15" t="e">
        <f t="shared" si="60"/>
        <v>#DIV/0!</v>
      </c>
    </row>
    <row r="151" spans="18:40" ht="13.8" x14ac:dyDescent="0.3">
      <c r="R151" s="51">
        <v>69.5</v>
      </c>
      <c r="S151" s="38">
        <f t="shared" si="54"/>
        <v>139</v>
      </c>
      <c r="T151" s="52">
        <f t="shared" si="44"/>
        <v>2.4260076602721181</v>
      </c>
      <c r="U151" s="52">
        <f t="shared" si="61"/>
        <v>0.93667218924839757</v>
      </c>
      <c r="V151" s="52">
        <f t="shared" si="62"/>
        <v>0.65605902899050728</v>
      </c>
      <c r="W151" s="52">
        <f t="shared" si="55"/>
        <v>0.35020738125946743</v>
      </c>
      <c r="X151" s="52">
        <f t="shared" si="56"/>
        <v>0</v>
      </c>
      <c r="Y151" s="15">
        <f t="shared" si="45"/>
        <v>0</v>
      </c>
      <c r="Z151" s="52">
        <f t="shared" si="46"/>
        <v>0</v>
      </c>
      <c r="AA151" s="52">
        <f t="shared" si="47"/>
        <v>0</v>
      </c>
      <c r="AB151" s="15" t="e">
        <f t="shared" si="48"/>
        <v>#DIV/0!</v>
      </c>
      <c r="AC151" s="15" t="e">
        <f t="shared" si="57"/>
        <v>#DIV/0!</v>
      </c>
      <c r="AD151" s="15" t="e">
        <f t="shared" si="49"/>
        <v>#DIV/0!</v>
      </c>
      <c r="AE151" s="15" t="e">
        <f t="shared" si="50"/>
        <v>#DIV/0!</v>
      </c>
      <c r="AF151" s="15" t="e">
        <f t="shared" si="51"/>
        <v>#DIV/0!</v>
      </c>
      <c r="AG151" s="15" t="e">
        <f t="shared" si="52"/>
        <v>#DIV/0!</v>
      </c>
      <c r="AH151" s="53" t="e">
        <f t="shared" si="53"/>
        <v>#DIV/0!</v>
      </c>
      <c r="AI151" s="102" t="e">
        <f t="shared" si="58"/>
        <v>#DIV/0!</v>
      </c>
      <c r="AJ151" s="15"/>
      <c r="AK151" s="15" t="e">
        <f t="shared" si="42"/>
        <v>#DIV/0!</v>
      </c>
      <c r="AL151" s="15" t="e">
        <f t="shared" si="43"/>
        <v>#DIV/0!</v>
      </c>
      <c r="AM151" s="15">
        <f t="shared" si="59"/>
        <v>0</v>
      </c>
      <c r="AN151" s="15" t="e">
        <f t="shared" si="60"/>
        <v>#DIV/0!</v>
      </c>
    </row>
    <row r="152" spans="18:40" ht="13.8" x14ac:dyDescent="0.3">
      <c r="R152" s="51">
        <v>70</v>
      </c>
      <c r="S152" s="38">
        <f t="shared" si="54"/>
        <v>140</v>
      </c>
      <c r="T152" s="52">
        <f t="shared" si="44"/>
        <v>2.4434609527920612</v>
      </c>
      <c r="U152" s="52">
        <f t="shared" si="61"/>
        <v>0.93969262078590832</v>
      </c>
      <c r="V152" s="52">
        <f t="shared" si="62"/>
        <v>0.64278760968653947</v>
      </c>
      <c r="W152" s="52">
        <f t="shared" si="55"/>
        <v>0.34202014332566882</v>
      </c>
      <c r="X152" s="52">
        <f t="shared" si="56"/>
        <v>0</v>
      </c>
      <c r="Y152" s="15">
        <f t="shared" si="45"/>
        <v>0</v>
      </c>
      <c r="Z152" s="52">
        <f t="shared" si="46"/>
        <v>0</v>
      </c>
      <c r="AA152" s="52">
        <f t="shared" si="47"/>
        <v>0</v>
      </c>
      <c r="AB152" s="15" t="e">
        <f t="shared" si="48"/>
        <v>#DIV/0!</v>
      </c>
      <c r="AC152" s="15" t="e">
        <f t="shared" si="57"/>
        <v>#DIV/0!</v>
      </c>
      <c r="AD152" s="15" t="e">
        <f t="shared" si="49"/>
        <v>#DIV/0!</v>
      </c>
      <c r="AE152" s="15" t="e">
        <f t="shared" si="50"/>
        <v>#DIV/0!</v>
      </c>
      <c r="AF152" s="15" t="e">
        <f t="shared" si="51"/>
        <v>#DIV/0!</v>
      </c>
      <c r="AG152" s="15" t="e">
        <f t="shared" si="52"/>
        <v>#DIV/0!</v>
      </c>
      <c r="AH152" s="53" t="e">
        <f t="shared" si="53"/>
        <v>#DIV/0!</v>
      </c>
      <c r="AI152" s="102" t="e">
        <f t="shared" si="58"/>
        <v>#DIV/0!</v>
      </c>
      <c r="AJ152" s="15"/>
      <c r="AK152" s="15" t="e">
        <f t="shared" si="42"/>
        <v>#DIV/0!</v>
      </c>
      <c r="AL152" s="15" t="e">
        <f t="shared" si="43"/>
        <v>#DIV/0!</v>
      </c>
      <c r="AM152" s="15">
        <f t="shared" si="59"/>
        <v>0</v>
      </c>
      <c r="AN152" s="15" t="e">
        <f t="shared" si="60"/>
        <v>#DIV/0!</v>
      </c>
    </row>
    <row r="153" spans="18:40" ht="13.8" x14ac:dyDescent="0.3">
      <c r="R153" s="51">
        <v>70.5</v>
      </c>
      <c r="S153" s="38">
        <f t="shared" si="54"/>
        <v>141</v>
      </c>
      <c r="T153" s="52">
        <f t="shared" si="44"/>
        <v>2.4609142453120048</v>
      </c>
      <c r="U153" s="52">
        <f t="shared" si="61"/>
        <v>0.94264149109217843</v>
      </c>
      <c r="V153" s="52">
        <f t="shared" si="62"/>
        <v>0.62932039104983739</v>
      </c>
      <c r="W153" s="52">
        <f t="shared" si="55"/>
        <v>0.3338068592337709</v>
      </c>
      <c r="X153" s="52">
        <f t="shared" si="56"/>
        <v>0</v>
      </c>
      <c r="Y153" s="15">
        <f t="shared" si="45"/>
        <v>0</v>
      </c>
      <c r="Z153" s="52">
        <f t="shared" si="46"/>
        <v>0</v>
      </c>
      <c r="AA153" s="52">
        <f t="shared" si="47"/>
        <v>0</v>
      </c>
      <c r="AB153" s="15" t="e">
        <f t="shared" si="48"/>
        <v>#DIV/0!</v>
      </c>
      <c r="AC153" s="15" t="e">
        <f t="shared" si="57"/>
        <v>#DIV/0!</v>
      </c>
      <c r="AD153" s="15" t="e">
        <f t="shared" si="49"/>
        <v>#DIV/0!</v>
      </c>
      <c r="AE153" s="15" t="e">
        <f t="shared" si="50"/>
        <v>#DIV/0!</v>
      </c>
      <c r="AF153" s="15" t="e">
        <f t="shared" si="51"/>
        <v>#DIV/0!</v>
      </c>
      <c r="AG153" s="15" t="e">
        <f t="shared" si="52"/>
        <v>#DIV/0!</v>
      </c>
      <c r="AH153" s="53" t="e">
        <f t="shared" si="53"/>
        <v>#DIV/0!</v>
      </c>
      <c r="AI153" s="102" t="e">
        <f t="shared" si="58"/>
        <v>#DIV/0!</v>
      </c>
      <c r="AJ153" s="15"/>
      <c r="AK153" s="15" t="e">
        <f t="shared" si="42"/>
        <v>#DIV/0!</v>
      </c>
      <c r="AL153" s="15" t="e">
        <f t="shared" si="43"/>
        <v>#DIV/0!</v>
      </c>
      <c r="AM153" s="15">
        <f t="shared" si="59"/>
        <v>0</v>
      </c>
      <c r="AN153" s="15" t="e">
        <f t="shared" si="60"/>
        <v>#DIV/0!</v>
      </c>
    </row>
    <row r="154" spans="18:40" ht="13.8" x14ac:dyDescent="0.3">
      <c r="R154" s="51">
        <v>71</v>
      </c>
      <c r="S154" s="38">
        <f t="shared" si="54"/>
        <v>142</v>
      </c>
      <c r="T154" s="52">
        <f t="shared" si="44"/>
        <v>2.4783675378319479</v>
      </c>
      <c r="U154" s="52">
        <f t="shared" si="61"/>
        <v>0.94551857559931674</v>
      </c>
      <c r="V154" s="52">
        <f t="shared" si="62"/>
        <v>0.6156614753256584</v>
      </c>
      <c r="W154" s="52">
        <f t="shared" si="55"/>
        <v>0.32556815445715676</v>
      </c>
      <c r="X154" s="52">
        <f t="shared" si="56"/>
        <v>0</v>
      </c>
      <c r="Y154" s="15">
        <f t="shared" si="45"/>
        <v>0</v>
      </c>
      <c r="Z154" s="52">
        <f t="shared" si="46"/>
        <v>0</v>
      </c>
      <c r="AA154" s="52">
        <f t="shared" si="47"/>
        <v>0</v>
      </c>
      <c r="AB154" s="15" t="e">
        <f t="shared" si="48"/>
        <v>#DIV/0!</v>
      </c>
      <c r="AC154" s="15" t="e">
        <f t="shared" si="57"/>
        <v>#DIV/0!</v>
      </c>
      <c r="AD154" s="15" t="e">
        <f t="shared" si="49"/>
        <v>#DIV/0!</v>
      </c>
      <c r="AE154" s="15" t="e">
        <f t="shared" si="50"/>
        <v>#DIV/0!</v>
      </c>
      <c r="AF154" s="15" t="e">
        <f t="shared" si="51"/>
        <v>#DIV/0!</v>
      </c>
      <c r="AG154" s="15" t="e">
        <f t="shared" si="52"/>
        <v>#DIV/0!</v>
      </c>
      <c r="AH154" s="53" t="e">
        <f t="shared" si="53"/>
        <v>#DIV/0!</v>
      </c>
      <c r="AI154" s="102" t="e">
        <f t="shared" si="58"/>
        <v>#DIV/0!</v>
      </c>
      <c r="AJ154" s="15"/>
      <c r="AK154" s="15" t="e">
        <f t="shared" si="42"/>
        <v>#DIV/0!</v>
      </c>
      <c r="AL154" s="15" t="e">
        <f t="shared" si="43"/>
        <v>#DIV/0!</v>
      </c>
      <c r="AM154" s="15">
        <f t="shared" si="59"/>
        <v>0</v>
      </c>
      <c r="AN154" s="15" t="e">
        <f t="shared" si="60"/>
        <v>#DIV/0!</v>
      </c>
    </row>
    <row r="155" spans="18:40" ht="13.8" x14ac:dyDescent="0.3">
      <c r="R155" s="51">
        <v>71.5</v>
      </c>
      <c r="S155" s="38">
        <f t="shared" si="54"/>
        <v>143</v>
      </c>
      <c r="T155" s="52">
        <f t="shared" si="44"/>
        <v>2.4958208303518914</v>
      </c>
      <c r="U155" s="52">
        <f t="shared" si="61"/>
        <v>0.94832365520619932</v>
      </c>
      <c r="V155" s="52">
        <f t="shared" si="62"/>
        <v>0.60181502315204816</v>
      </c>
      <c r="W155" s="52">
        <f t="shared" si="55"/>
        <v>0.31730465640509209</v>
      </c>
      <c r="X155" s="52">
        <f t="shared" si="56"/>
        <v>0</v>
      </c>
      <c r="Y155" s="15">
        <f t="shared" si="45"/>
        <v>0</v>
      </c>
      <c r="Z155" s="52">
        <f t="shared" si="46"/>
        <v>0</v>
      </c>
      <c r="AA155" s="52">
        <f t="shared" si="47"/>
        <v>0</v>
      </c>
      <c r="AB155" s="15" t="e">
        <f t="shared" si="48"/>
        <v>#DIV/0!</v>
      </c>
      <c r="AC155" s="15" t="e">
        <f t="shared" si="57"/>
        <v>#DIV/0!</v>
      </c>
      <c r="AD155" s="15" t="e">
        <f t="shared" si="49"/>
        <v>#DIV/0!</v>
      </c>
      <c r="AE155" s="15" t="e">
        <f t="shared" si="50"/>
        <v>#DIV/0!</v>
      </c>
      <c r="AF155" s="15" t="e">
        <f t="shared" si="51"/>
        <v>#DIV/0!</v>
      </c>
      <c r="AG155" s="15" t="e">
        <f t="shared" si="52"/>
        <v>#DIV/0!</v>
      </c>
      <c r="AH155" s="53" t="e">
        <f t="shared" si="53"/>
        <v>#DIV/0!</v>
      </c>
      <c r="AI155" s="102" t="e">
        <f t="shared" si="58"/>
        <v>#DIV/0!</v>
      </c>
      <c r="AJ155" s="15"/>
      <c r="AK155" s="15" t="e">
        <f t="shared" si="42"/>
        <v>#DIV/0!</v>
      </c>
      <c r="AL155" s="15" t="e">
        <f t="shared" si="43"/>
        <v>#DIV/0!</v>
      </c>
      <c r="AM155" s="15">
        <f t="shared" si="59"/>
        <v>0</v>
      </c>
      <c r="AN155" s="15" t="e">
        <f t="shared" si="60"/>
        <v>#DIV/0!</v>
      </c>
    </row>
    <row r="156" spans="18:40" ht="13.8" x14ac:dyDescent="0.3">
      <c r="R156" s="51">
        <v>72</v>
      </c>
      <c r="S156" s="38">
        <f t="shared" si="54"/>
        <v>144</v>
      </c>
      <c r="T156" s="52">
        <f t="shared" si="44"/>
        <v>2.5132741228718345</v>
      </c>
      <c r="U156" s="52">
        <f t="shared" si="61"/>
        <v>0.95105651629515353</v>
      </c>
      <c r="V156" s="52">
        <f t="shared" si="62"/>
        <v>0.58778525229247325</v>
      </c>
      <c r="W156" s="52">
        <f t="shared" si="55"/>
        <v>0.30901699437494745</v>
      </c>
      <c r="X156" s="52">
        <f t="shared" si="56"/>
        <v>0</v>
      </c>
      <c r="Y156" s="15">
        <f t="shared" si="45"/>
        <v>0</v>
      </c>
      <c r="Z156" s="52">
        <f t="shared" si="46"/>
        <v>0</v>
      </c>
      <c r="AA156" s="52">
        <f t="shared" si="47"/>
        <v>0</v>
      </c>
      <c r="AB156" s="15" t="e">
        <f t="shared" si="48"/>
        <v>#DIV/0!</v>
      </c>
      <c r="AC156" s="15" t="e">
        <f t="shared" si="57"/>
        <v>#DIV/0!</v>
      </c>
      <c r="AD156" s="15" t="e">
        <f t="shared" si="49"/>
        <v>#DIV/0!</v>
      </c>
      <c r="AE156" s="15" t="e">
        <f t="shared" si="50"/>
        <v>#DIV/0!</v>
      </c>
      <c r="AF156" s="15" t="e">
        <f t="shared" si="51"/>
        <v>#DIV/0!</v>
      </c>
      <c r="AG156" s="15" t="e">
        <f t="shared" si="52"/>
        <v>#DIV/0!</v>
      </c>
      <c r="AH156" s="53" t="e">
        <f t="shared" si="53"/>
        <v>#DIV/0!</v>
      </c>
      <c r="AI156" s="102" t="e">
        <f t="shared" si="58"/>
        <v>#DIV/0!</v>
      </c>
      <c r="AJ156" s="15"/>
      <c r="AK156" s="15" t="e">
        <f t="shared" si="42"/>
        <v>#DIV/0!</v>
      </c>
      <c r="AL156" s="15" t="e">
        <f t="shared" si="43"/>
        <v>#DIV/0!</v>
      </c>
      <c r="AM156" s="15">
        <f t="shared" si="59"/>
        <v>0</v>
      </c>
      <c r="AN156" s="15" t="e">
        <f t="shared" si="60"/>
        <v>#DIV/0!</v>
      </c>
    </row>
    <row r="157" spans="18:40" ht="13.8" x14ac:dyDescent="0.3">
      <c r="R157" s="51">
        <v>72.5</v>
      </c>
      <c r="S157" s="38">
        <f t="shared" si="54"/>
        <v>145</v>
      </c>
      <c r="T157" s="52">
        <f t="shared" si="44"/>
        <v>2.530727415391778</v>
      </c>
      <c r="U157" s="52">
        <f t="shared" si="61"/>
        <v>0.95371695074822693</v>
      </c>
      <c r="V157" s="52">
        <f t="shared" si="62"/>
        <v>0.57357643635104594</v>
      </c>
      <c r="W157" s="52">
        <f t="shared" si="55"/>
        <v>0.30070579950427306</v>
      </c>
      <c r="X157" s="52">
        <f t="shared" si="56"/>
        <v>0</v>
      </c>
      <c r="Y157" s="15">
        <f t="shared" si="45"/>
        <v>0</v>
      </c>
      <c r="Z157" s="52">
        <f t="shared" si="46"/>
        <v>0</v>
      </c>
      <c r="AA157" s="52">
        <f t="shared" si="47"/>
        <v>0</v>
      </c>
      <c r="AB157" s="15" t="e">
        <f t="shared" si="48"/>
        <v>#DIV/0!</v>
      </c>
      <c r="AC157" s="15" t="e">
        <f t="shared" si="57"/>
        <v>#DIV/0!</v>
      </c>
      <c r="AD157" s="15" t="e">
        <f t="shared" si="49"/>
        <v>#DIV/0!</v>
      </c>
      <c r="AE157" s="15" t="e">
        <f t="shared" si="50"/>
        <v>#DIV/0!</v>
      </c>
      <c r="AF157" s="15" t="e">
        <f t="shared" si="51"/>
        <v>#DIV/0!</v>
      </c>
      <c r="AG157" s="15" t="e">
        <f t="shared" si="52"/>
        <v>#DIV/0!</v>
      </c>
      <c r="AH157" s="53" t="e">
        <f t="shared" si="53"/>
        <v>#DIV/0!</v>
      </c>
      <c r="AI157" s="102" t="e">
        <f t="shared" si="58"/>
        <v>#DIV/0!</v>
      </c>
      <c r="AJ157" s="15"/>
      <c r="AK157" s="15" t="e">
        <f t="shared" si="42"/>
        <v>#DIV/0!</v>
      </c>
      <c r="AL157" s="15" t="e">
        <f t="shared" si="43"/>
        <v>#DIV/0!</v>
      </c>
      <c r="AM157" s="15">
        <f t="shared" si="59"/>
        <v>0</v>
      </c>
      <c r="AN157" s="15" t="e">
        <f t="shared" si="60"/>
        <v>#DIV/0!</v>
      </c>
    </row>
    <row r="158" spans="18:40" ht="13.8" x14ac:dyDescent="0.3">
      <c r="R158" s="51">
        <v>73</v>
      </c>
      <c r="S158" s="38">
        <f t="shared" si="54"/>
        <v>146</v>
      </c>
      <c r="T158" s="52">
        <f t="shared" si="44"/>
        <v>2.5481807079117211</v>
      </c>
      <c r="U158" s="52">
        <f t="shared" si="61"/>
        <v>0.95630475596303544</v>
      </c>
      <c r="V158" s="52">
        <f t="shared" si="62"/>
        <v>0.5591929034707469</v>
      </c>
      <c r="W158" s="52">
        <f t="shared" si="55"/>
        <v>0.29237170472273677</v>
      </c>
      <c r="X158" s="52">
        <f t="shared" si="56"/>
        <v>0</v>
      </c>
      <c r="Y158" s="15">
        <f t="shared" si="45"/>
        <v>0</v>
      </c>
      <c r="Z158" s="52">
        <f t="shared" si="46"/>
        <v>0</v>
      </c>
      <c r="AA158" s="52">
        <f t="shared" si="47"/>
        <v>0</v>
      </c>
      <c r="AB158" s="15" t="e">
        <f t="shared" si="48"/>
        <v>#DIV/0!</v>
      </c>
      <c r="AC158" s="15" t="e">
        <f t="shared" si="57"/>
        <v>#DIV/0!</v>
      </c>
      <c r="AD158" s="15" t="e">
        <f t="shared" si="49"/>
        <v>#DIV/0!</v>
      </c>
      <c r="AE158" s="15" t="e">
        <f t="shared" si="50"/>
        <v>#DIV/0!</v>
      </c>
      <c r="AF158" s="15" t="e">
        <f t="shared" si="51"/>
        <v>#DIV/0!</v>
      </c>
      <c r="AG158" s="15" t="e">
        <f t="shared" si="52"/>
        <v>#DIV/0!</v>
      </c>
      <c r="AH158" s="53" t="e">
        <f t="shared" si="53"/>
        <v>#DIV/0!</v>
      </c>
      <c r="AI158" s="102" t="e">
        <f t="shared" si="58"/>
        <v>#DIV/0!</v>
      </c>
      <c r="AJ158" s="15"/>
      <c r="AK158" s="15" t="e">
        <f t="shared" si="42"/>
        <v>#DIV/0!</v>
      </c>
      <c r="AL158" s="15" t="e">
        <f t="shared" si="43"/>
        <v>#DIV/0!</v>
      </c>
      <c r="AM158" s="15">
        <f t="shared" si="59"/>
        <v>0</v>
      </c>
      <c r="AN158" s="15" t="e">
        <f t="shared" si="60"/>
        <v>#DIV/0!</v>
      </c>
    </row>
    <row r="159" spans="18:40" ht="13.8" x14ac:dyDescent="0.3">
      <c r="R159" s="51">
        <v>73.5</v>
      </c>
      <c r="S159" s="38">
        <f t="shared" si="54"/>
        <v>147</v>
      </c>
      <c r="T159" s="52">
        <f t="shared" si="44"/>
        <v>2.5656340004316642</v>
      </c>
      <c r="U159" s="52">
        <f t="shared" si="61"/>
        <v>0.95881973486819305</v>
      </c>
      <c r="V159" s="52">
        <f t="shared" si="62"/>
        <v>0.54463903501502731</v>
      </c>
      <c r="W159" s="52">
        <f t="shared" si="55"/>
        <v>0.28401534470392276</v>
      </c>
      <c r="X159" s="52">
        <f t="shared" si="56"/>
        <v>0</v>
      </c>
      <c r="Y159" s="15">
        <f t="shared" si="45"/>
        <v>0</v>
      </c>
      <c r="Z159" s="52">
        <f t="shared" si="46"/>
        <v>0</v>
      </c>
      <c r="AA159" s="52">
        <f t="shared" si="47"/>
        <v>0</v>
      </c>
      <c r="AB159" s="15" t="e">
        <f t="shared" si="48"/>
        <v>#DIV/0!</v>
      </c>
      <c r="AC159" s="15" t="e">
        <f t="shared" si="57"/>
        <v>#DIV/0!</v>
      </c>
      <c r="AD159" s="15" t="e">
        <f t="shared" si="49"/>
        <v>#DIV/0!</v>
      </c>
      <c r="AE159" s="15" t="e">
        <f t="shared" si="50"/>
        <v>#DIV/0!</v>
      </c>
      <c r="AF159" s="15" t="e">
        <f t="shared" si="51"/>
        <v>#DIV/0!</v>
      </c>
      <c r="AG159" s="15" t="e">
        <f t="shared" si="52"/>
        <v>#DIV/0!</v>
      </c>
      <c r="AH159" s="53" t="e">
        <f t="shared" si="53"/>
        <v>#DIV/0!</v>
      </c>
      <c r="AI159" s="102" t="e">
        <f t="shared" si="58"/>
        <v>#DIV/0!</v>
      </c>
      <c r="AJ159" s="15"/>
      <c r="AK159" s="15" t="e">
        <f t="shared" si="42"/>
        <v>#DIV/0!</v>
      </c>
      <c r="AL159" s="15" t="e">
        <f t="shared" si="43"/>
        <v>#DIV/0!</v>
      </c>
      <c r="AM159" s="15">
        <f t="shared" si="59"/>
        <v>0</v>
      </c>
      <c r="AN159" s="15" t="e">
        <f t="shared" si="60"/>
        <v>#DIV/0!</v>
      </c>
    </row>
    <row r="160" spans="18:40" ht="13.8" x14ac:dyDescent="0.3">
      <c r="R160" s="51">
        <v>74</v>
      </c>
      <c r="S160" s="38">
        <f t="shared" si="54"/>
        <v>148</v>
      </c>
      <c r="T160" s="52">
        <f t="shared" si="44"/>
        <v>2.5830872929516078</v>
      </c>
      <c r="U160" s="52">
        <f t="shared" si="61"/>
        <v>0.96126169593831889</v>
      </c>
      <c r="V160" s="52">
        <f t="shared" si="62"/>
        <v>0.5299192642332049</v>
      </c>
      <c r="W160" s="52">
        <f t="shared" si="55"/>
        <v>0.27563735581699916</v>
      </c>
      <c r="X160" s="52">
        <f t="shared" si="56"/>
        <v>0</v>
      </c>
      <c r="Y160" s="15">
        <f t="shared" si="45"/>
        <v>0</v>
      </c>
      <c r="Z160" s="52">
        <f t="shared" si="46"/>
        <v>0</v>
      </c>
      <c r="AA160" s="52">
        <f t="shared" si="47"/>
        <v>0</v>
      </c>
      <c r="AB160" s="15" t="e">
        <f t="shared" si="48"/>
        <v>#DIV/0!</v>
      </c>
      <c r="AC160" s="15" t="e">
        <f t="shared" si="57"/>
        <v>#DIV/0!</v>
      </c>
      <c r="AD160" s="15" t="e">
        <f t="shared" si="49"/>
        <v>#DIV/0!</v>
      </c>
      <c r="AE160" s="15" t="e">
        <f t="shared" si="50"/>
        <v>#DIV/0!</v>
      </c>
      <c r="AF160" s="15" t="e">
        <f t="shared" si="51"/>
        <v>#DIV/0!</v>
      </c>
      <c r="AG160" s="15" t="e">
        <f t="shared" si="52"/>
        <v>#DIV/0!</v>
      </c>
      <c r="AH160" s="53" t="e">
        <f t="shared" si="53"/>
        <v>#DIV/0!</v>
      </c>
      <c r="AI160" s="102" t="e">
        <f t="shared" si="58"/>
        <v>#DIV/0!</v>
      </c>
      <c r="AJ160" s="15"/>
      <c r="AK160" s="15" t="e">
        <f t="shared" si="42"/>
        <v>#DIV/0!</v>
      </c>
      <c r="AL160" s="15" t="e">
        <f t="shared" si="43"/>
        <v>#DIV/0!</v>
      </c>
      <c r="AM160" s="15">
        <f t="shared" si="59"/>
        <v>0</v>
      </c>
      <c r="AN160" s="15" t="e">
        <f t="shared" si="60"/>
        <v>#DIV/0!</v>
      </c>
    </row>
    <row r="161" spans="18:40" ht="13.8" x14ac:dyDescent="0.3">
      <c r="R161" s="51">
        <v>74.5</v>
      </c>
      <c r="S161" s="38">
        <f t="shared" si="54"/>
        <v>149</v>
      </c>
      <c r="T161" s="52">
        <f t="shared" si="44"/>
        <v>2.6005405854715509</v>
      </c>
      <c r="U161" s="52">
        <f t="shared" si="61"/>
        <v>0.96363045320862295</v>
      </c>
      <c r="V161" s="52">
        <f t="shared" si="62"/>
        <v>0.51503807491005438</v>
      </c>
      <c r="W161" s="52">
        <f t="shared" si="55"/>
        <v>0.26723837607825696</v>
      </c>
      <c r="X161" s="52">
        <f t="shared" si="56"/>
        <v>0</v>
      </c>
      <c r="Y161" s="15">
        <f t="shared" si="45"/>
        <v>0</v>
      </c>
      <c r="Z161" s="52">
        <f t="shared" si="46"/>
        <v>0</v>
      </c>
      <c r="AA161" s="52">
        <f t="shared" si="47"/>
        <v>0</v>
      </c>
      <c r="AB161" s="15" t="e">
        <f t="shared" si="48"/>
        <v>#DIV/0!</v>
      </c>
      <c r="AC161" s="15" t="e">
        <f t="shared" si="57"/>
        <v>#DIV/0!</v>
      </c>
      <c r="AD161" s="15" t="e">
        <f t="shared" si="49"/>
        <v>#DIV/0!</v>
      </c>
      <c r="AE161" s="15" t="e">
        <f t="shared" si="50"/>
        <v>#DIV/0!</v>
      </c>
      <c r="AF161" s="15" t="e">
        <f t="shared" si="51"/>
        <v>#DIV/0!</v>
      </c>
      <c r="AG161" s="15" t="e">
        <f t="shared" si="52"/>
        <v>#DIV/0!</v>
      </c>
      <c r="AH161" s="53" t="e">
        <f t="shared" si="53"/>
        <v>#DIV/0!</v>
      </c>
      <c r="AI161" s="102" t="e">
        <f t="shared" si="58"/>
        <v>#DIV/0!</v>
      </c>
      <c r="AJ161" s="15"/>
      <c r="AK161" s="15" t="e">
        <f t="shared" si="42"/>
        <v>#DIV/0!</v>
      </c>
      <c r="AL161" s="15" t="e">
        <f t="shared" si="43"/>
        <v>#DIV/0!</v>
      </c>
      <c r="AM161" s="15">
        <f t="shared" si="59"/>
        <v>0</v>
      </c>
      <c r="AN161" s="15" t="e">
        <f t="shared" si="60"/>
        <v>#DIV/0!</v>
      </c>
    </row>
    <row r="162" spans="18:40" ht="13.8" x14ac:dyDescent="0.3">
      <c r="R162" s="51">
        <v>75</v>
      </c>
      <c r="S162" s="38">
        <f t="shared" si="54"/>
        <v>150</v>
      </c>
      <c r="T162" s="52">
        <f t="shared" si="44"/>
        <v>2.6179938779914944</v>
      </c>
      <c r="U162" s="52">
        <f t="shared" si="61"/>
        <v>0.96592582628906831</v>
      </c>
      <c r="V162" s="52">
        <f t="shared" si="62"/>
        <v>0.49999999999999994</v>
      </c>
      <c r="W162" s="52">
        <f t="shared" si="55"/>
        <v>0.25881904510252074</v>
      </c>
      <c r="X162" s="52">
        <f t="shared" si="56"/>
        <v>0</v>
      </c>
      <c r="Y162" s="15">
        <f t="shared" si="45"/>
        <v>0</v>
      </c>
      <c r="Z162" s="52">
        <f t="shared" si="46"/>
        <v>0</v>
      </c>
      <c r="AA162" s="52">
        <f t="shared" si="47"/>
        <v>0</v>
      </c>
      <c r="AB162" s="15" t="e">
        <f t="shared" si="48"/>
        <v>#DIV/0!</v>
      </c>
      <c r="AC162" s="15" t="e">
        <f t="shared" si="57"/>
        <v>#DIV/0!</v>
      </c>
      <c r="AD162" s="15" t="e">
        <f t="shared" si="49"/>
        <v>#DIV/0!</v>
      </c>
      <c r="AE162" s="15" t="e">
        <f t="shared" si="50"/>
        <v>#DIV/0!</v>
      </c>
      <c r="AF162" s="15" t="e">
        <f t="shared" si="51"/>
        <v>#DIV/0!</v>
      </c>
      <c r="AG162" s="15" t="e">
        <f t="shared" si="52"/>
        <v>#DIV/0!</v>
      </c>
      <c r="AH162" s="53" t="e">
        <f t="shared" si="53"/>
        <v>#DIV/0!</v>
      </c>
      <c r="AI162" s="102" t="e">
        <f t="shared" si="58"/>
        <v>#DIV/0!</v>
      </c>
      <c r="AJ162" s="15"/>
      <c r="AK162" s="15" t="e">
        <f t="shared" si="42"/>
        <v>#DIV/0!</v>
      </c>
      <c r="AL162" s="15" t="e">
        <f t="shared" si="43"/>
        <v>#DIV/0!</v>
      </c>
      <c r="AM162" s="15">
        <f t="shared" si="59"/>
        <v>0</v>
      </c>
      <c r="AN162" s="15" t="e">
        <f t="shared" si="60"/>
        <v>#DIV/0!</v>
      </c>
    </row>
    <row r="163" spans="18:40" ht="13.8" x14ac:dyDescent="0.3">
      <c r="R163" s="51">
        <v>75.5</v>
      </c>
      <c r="S163" s="38">
        <f t="shared" si="54"/>
        <v>151</v>
      </c>
      <c r="T163" s="52">
        <f t="shared" si="44"/>
        <v>2.6354471705114375</v>
      </c>
      <c r="U163" s="52">
        <f t="shared" si="61"/>
        <v>0.96814764037810774</v>
      </c>
      <c r="V163" s="52">
        <f t="shared" si="62"/>
        <v>0.48480962024633717</v>
      </c>
      <c r="W163" s="52">
        <f t="shared" si="55"/>
        <v>0.2503800040544415</v>
      </c>
      <c r="X163" s="52">
        <f t="shared" si="56"/>
        <v>0</v>
      </c>
      <c r="Y163" s="15">
        <f t="shared" si="45"/>
        <v>0</v>
      </c>
      <c r="Z163" s="52">
        <f t="shared" si="46"/>
        <v>0</v>
      </c>
      <c r="AA163" s="52">
        <f t="shared" si="47"/>
        <v>0</v>
      </c>
      <c r="AB163" s="15" t="e">
        <f t="shared" si="48"/>
        <v>#DIV/0!</v>
      </c>
      <c r="AC163" s="15" t="e">
        <f t="shared" si="57"/>
        <v>#DIV/0!</v>
      </c>
      <c r="AD163" s="15" t="e">
        <f t="shared" si="49"/>
        <v>#DIV/0!</v>
      </c>
      <c r="AE163" s="15" t="e">
        <f t="shared" si="50"/>
        <v>#DIV/0!</v>
      </c>
      <c r="AF163" s="15" t="e">
        <f t="shared" si="51"/>
        <v>#DIV/0!</v>
      </c>
      <c r="AG163" s="15" t="e">
        <f t="shared" si="52"/>
        <v>#DIV/0!</v>
      </c>
      <c r="AH163" s="53" t="e">
        <f t="shared" si="53"/>
        <v>#DIV/0!</v>
      </c>
      <c r="AI163" s="102" t="e">
        <f t="shared" si="58"/>
        <v>#DIV/0!</v>
      </c>
      <c r="AJ163" s="15"/>
      <c r="AK163" s="15" t="e">
        <f t="shared" si="42"/>
        <v>#DIV/0!</v>
      </c>
      <c r="AL163" s="15" t="e">
        <f t="shared" si="43"/>
        <v>#DIV/0!</v>
      </c>
      <c r="AM163" s="15">
        <f t="shared" si="59"/>
        <v>0</v>
      </c>
      <c r="AN163" s="15" t="e">
        <f t="shared" si="60"/>
        <v>#DIV/0!</v>
      </c>
    </row>
    <row r="164" spans="18:40" ht="13.8" x14ac:dyDescent="0.3">
      <c r="R164" s="51">
        <v>76</v>
      </c>
      <c r="S164" s="38">
        <f t="shared" si="54"/>
        <v>152</v>
      </c>
      <c r="T164" s="52">
        <f t="shared" si="44"/>
        <v>2.6529004630313811</v>
      </c>
      <c r="U164" s="52">
        <f t="shared" si="61"/>
        <v>0.97029572627599647</v>
      </c>
      <c r="V164" s="52">
        <f t="shared" si="62"/>
        <v>0.46947156278589069</v>
      </c>
      <c r="W164" s="52">
        <f t="shared" si="55"/>
        <v>0.24192189559966767</v>
      </c>
      <c r="X164" s="52">
        <f t="shared" si="56"/>
        <v>0</v>
      </c>
      <c r="Y164" s="15">
        <f t="shared" si="45"/>
        <v>0</v>
      </c>
      <c r="Z164" s="52">
        <f t="shared" si="46"/>
        <v>0</v>
      </c>
      <c r="AA164" s="52">
        <f t="shared" si="47"/>
        <v>0</v>
      </c>
      <c r="AB164" s="15" t="e">
        <f t="shared" si="48"/>
        <v>#DIV/0!</v>
      </c>
      <c r="AC164" s="15" t="e">
        <f t="shared" si="57"/>
        <v>#DIV/0!</v>
      </c>
      <c r="AD164" s="15" t="e">
        <f t="shared" si="49"/>
        <v>#DIV/0!</v>
      </c>
      <c r="AE164" s="15" t="e">
        <f t="shared" si="50"/>
        <v>#DIV/0!</v>
      </c>
      <c r="AF164" s="15" t="e">
        <f t="shared" si="51"/>
        <v>#DIV/0!</v>
      </c>
      <c r="AG164" s="15" t="e">
        <f t="shared" si="52"/>
        <v>#DIV/0!</v>
      </c>
      <c r="AH164" s="53" t="e">
        <f t="shared" si="53"/>
        <v>#DIV/0!</v>
      </c>
      <c r="AI164" s="102" t="e">
        <f t="shared" si="58"/>
        <v>#DIV/0!</v>
      </c>
      <c r="AJ164" s="15"/>
      <c r="AK164" s="15" t="e">
        <f t="shared" si="42"/>
        <v>#DIV/0!</v>
      </c>
      <c r="AL164" s="15" t="e">
        <f t="shared" si="43"/>
        <v>#DIV/0!</v>
      </c>
      <c r="AM164" s="15">
        <f t="shared" si="59"/>
        <v>0</v>
      </c>
      <c r="AN164" s="15" t="e">
        <f t="shared" si="60"/>
        <v>#DIV/0!</v>
      </c>
    </row>
    <row r="165" spans="18:40" ht="13.8" x14ac:dyDescent="0.3">
      <c r="R165" s="51">
        <v>76.5</v>
      </c>
      <c r="S165" s="38">
        <f t="shared" si="54"/>
        <v>153</v>
      </c>
      <c r="T165" s="52">
        <f t="shared" si="44"/>
        <v>2.6703537555513241</v>
      </c>
      <c r="U165" s="52">
        <f t="shared" si="61"/>
        <v>0.97236992039767656</v>
      </c>
      <c r="V165" s="52">
        <f t="shared" si="62"/>
        <v>0.45399049973954686</v>
      </c>
      <c r="W165" s="52">
        <f t="shared" si="55"/>
        <v>0.23344536385590547</v>
      </c>
      <c r="X165" s="52">
        <f t="shared" si="56"/>
        <v>0</v>
      </c>
      <c r="Y165" s="15">
        <f t="shared" si="45"/>
        <v>0</v>
      </c>
      <c r="Z165" s="52">
        <f t="shared" si="46"/>
        <v>0</v>
      </c>
      <c r="AA165" s="52">
        <f t="shared" si="47"/>
        <v>0</v>
      </c>
      <c r="AB165" s="15" t="e">
        <f t="shared" si="48"/>
        <v>#DIV/0!</v>
      </c>
      <c r="AC165" s="15" t="e">
        <f t="shared" si="57"/>
        <v>#DIV/0!</v>
      </c>
      <c r="AD165" s="15" t="e">
        <f t="shared" si="49"/>
        <v>#DIV/0!</v>
      </c>
      <c r="AE165" s="15" t="e">
        <f t="shared" si="50"/>
        <v>#DIV/0!</v>
      </c>
      <c r="AF165" s="15" t="e">
        <f t="shared" si="51"/>
        <v>#DIV/0!</v>
      </c>
      <c r="AG165" s="15" t="e">
        <f t="shared" si="52"/>
        <v>#DIV/0!</v>
      </c>
      <c r="AH165" s="53" t="e">
        <f t="shared" si="53"/>
        <v>#DIV/0!</v>
      </c>
      <c r="AI165" s="102" t="e">
        <f t="shared" si="58"/>
        <v>#DIV/0!</v>
      </c>
      <c r="AJ165" s="15"/>
      <c r="AK165" s="15" t="e">
        <f t="shared" si="42"/>
        <v>#DIV/0!</v>
      </c>
      <c r="AL165" s="15" t="e">
        <f t="shared" si="43"/>
        <v>#DIV/0!</v>
      </c>
      <c r="AM165" s="15">
        <f t="shared" si="59"/>
        <v>0</v>
      </c>
      <c r="AN165" s="15" t="e">
        <f t="shared" si="60"/>
        <v>#DIV/0!</v>
      </c>
    </row>
    <row r="166" spans="18:40" ht="13.8" x14ac:dyDescent="0.3">
      <c r="R166" s="51">
        <v>77</v>
      </c>
      <c r="S166" s="38">
        <f t="shared" si="54"/>
        <v>154</v>
      </c>
      <c r="T166" s="52">
        <f t="shared" si="44"/>
        <v>2.6878070480712677</v>
      </c>
      <c r="U166" s="52">
        <f t="shared" si="61"/>
        <v>0.97437006478523525</v>
      </c>
      <c r="V166" s="52">
        <f t="shared" si="62"/>
        <v>0.43837114678907729</v>
      </c>
      <c r="W166" s="52">
        <f t="shared" si="55"/>
        <v>0.22495105434386492</v>
      </c>
      <c r="X166" s="52">
        <f t="shared" si="56"/>
        <v>0</v>
      </c>
      <c r="Y166" s="15">
        <f t="shared" si="45"/>
        <v>0</v>
      </c>
      <c r="Z166" s="52">
        <f t="shared" si="46"/>
        <v>0</v>
      </c>
      <c r="AA166" s="52">
        <f t="shared" si="47"/>
        <v>0</v>
      </c>
      <c r="AB166" s="15" t="e">
        <f t="shared" si="48"/>
        <v>#DIV/0!</v>
      </c>
      <c r="AC166" s="15" t="e">
        <f t="shared" si="57"/>
        <v>#DIV/0!</v>
      </c>
      <c r="AD166" s="15" t="e">
        <f t="shared" si="49"/>
        <v>#DIV/0!</v>
      </c>
      <c r="AE166" s="15" t="e">
        <f t="shared" si="50"/>
        <v>#DIV/0!</v>
      </c>
      <c r="AF166" s="15" t="e">
        <f t="shared" si="51"/>
        <v>#DIV/0!</v>
      </c>
      <c r="AG166" s="15" t="e">
        <f t="shared" si="52"/>
        <v>#DIV/0!</v>
      </c>
      <c r="AH166" s="53" t="e">
        <f t="shared" si="53"/>
        <v>#DIV/0!</v>
      </c>
      <c r="AI166" s="102" t="e">
        <f t="shared" si="58"/>
        <v>#DIV/0!</v>
      </c>
      <c r="AJ166" s="15"/>
      <c r="AK166" s="15" t="e">
        <f t="shared" ref="AK166:AK229" si="63">AH166</f>
        <v>#DIV/0!</v>
      </c>
      <c r="AL166" s="15" t="e">
        <f t="shared" ref="AL166:AL229" si="64">AB166</f>
        <v>#DIV/0!</v>
      </c>
      <c r="AM166" s="15">
        <f t="shared" si="59"/>
        <v>0</v>
      </c>
      <c r="AN166" s="15" t="e">
        <f t="shared" si="60"/>
        <v>#DIV/0!</v>
      </c>
    </row>
    <row r="167" spans="18:40" ht="13.8" x14ac:dyDescent="0.3">
      <c r="R167" s="51">
        <v>77.5</v>
      </c>
      <c r="S167" s="38">
        <f t="shared" si="54"/>
        <v>155</v>
      </c>
      <c r="T167" s="52">
        <f t="shared" si="44"/>
        <v>2.7052603405912108</v>
      </c>
      <c r="U167" s="52">
        <f t="shared" si="61"/>
        <v>0.97629600711993336</v>
      </c>
      <c r="V167" s="52">
        <f t="shared" si="62"/>
        <v>0.4226182617406995</v>
      </c>
      <c r="W167" s="52">
        <f t="shared" si="55"/>
        <v>0.2164396139381029</v>
      </c>
      <c r="X167" s="52">
        <f t="shared" si="56"/>
        <v>0</v>
      </c>
      <c r="Y167" s="15">
        <f t="shared" si="45"/>
        <v>0</v>
      </c>
      <c r="Z167" s="52">
        <f t="shared" si="46"/>
        <v>0</v>
      </c>
      <c r="AA167" s="52">
        <f t="shared" si="47"/>
        <v>0</v>
      </c>
      <c r="AB167" s="15" t="e">
        <f t="shared" si="48"/>
        <v>#DIV/0!</v>
      </c>
      <c r="AC167" s="15" t="e">
        <f t="shared" si="57"/>
        <v>#DIV/0!</v>
      </c>
      <c r="AD167" s="15" t="e">
        <f t="shared" si="49"/>
        <v>#DIV/0!</v>
      </c>
      <c r="AE167" s="15" t="e">
        <f t="shared" si="50"/>
        <v>#DIV/0!</v>
      </c>
      <c r="AF167" s="15" t="e">
        <f t="shared" si="51"/>
        <v>#DIV/0!</v>
      </c>
      <c r="AG167" s="15" t="e">
        <f t="shared" si="52"/>
        <v>#DIV/0!</v>
      </c>
      <c r="AH167" s="53" t="e">
        <f t="shared" si="53"/>
        <v>#DIV/0!</v>
      </c>
      <c r="AI167" s="102" t="e">
        <f t="shared" si="58"/>
        <v>#DIV/0!</v>
      </c>
      <c r="AJ167" s="15"/>
      <c r="AK167" s="15" t="e">
        <f t="shared" si="63"/>
        <v>#DIV/0!</v>
      </c>
      <c r="AL167" s="15" t="e">
        <f t="shared" si="64"/>
        <v>#DIV/0!</v>
      </c>
      <c r="AM167" s="15">
        <f t="shared" si="59"/>
        <v>0</v>
      </c>
      <c r="AN167" s="15" t="e">
        <f t="shared" si="60"/>
        <v>#DIV/0!</v>
      </c>
    </row>
    <row r="168" spans="18:40" ht="13.8" x14ac:dyDescent="0.3">
      <c r="R168" s="51">
        <v>78</v>
      </c>
      <c r="S168" s="38">
        <f t="shared" si="54"/>
        <v>156</v>
      </c>
      <c r="T168" s="52">
        <f t="shared" si="44"/>
        <v>2.7227136331111539</v>
      </c>
      <c r="U168" s="52">
        <f t="shared" si="61"/>
        <v>0.97814760073380558</v>
      </c>
      <c r="V168" s="52">
        <f t="shared" si="62"/>
        <v>0.40673664307580043</v>
      </c>
      <c r="W168" s="52">
        <f t="shared" si="55"/>
        <v>0.20791169081775945</v>
      </c>
      <c r="X168" s="52">
        <f t="shared" si="56"/>
        <v>0</v>
      </c>
      <c r="Y168" s="15">
        <f t="shared" si="45"/>
        <v>0</v>
      </c>
      <c r="Z168" s="52">
        <f t="shared" si="46"/>
        <v>0</v>
      </c>
      <c r="AA168" s="52">
        <f t="shared" si="47"/>
        <v>0</v>
      </c>
      <c r="AB168" s="15" t="e">
        <f t="shared" si="48"/>
        <v>#DIV/0!</v>
      </c>
      <c r="AC168" s="15" t="e">
        <f t="shared" si="57"/>
        <v>#DIV/0!</v>
      </c>
      <c r="AD168" s="15" t="e">
        <f t="shared" si="49"/>
        <v>#DIV/0!</v>
      </c>
      <c r="AE168" s="15" t="e">
        <f t="shared" si="50"/>
        <v>#DIV/0!</v>
      </c>
      <c r="AF168" s="15" t="e">
        <f t="shared" si="51"/>
        <v>#DIV/0!</v>
      </c>
      <c r="AG168" s="15" t="e">
        <f t="shared" si="52"/>
        <v>#DIV/0!</v>
      </c>
      <c r="AH168" s="53" t="e">
        <f t="shared" si="53"/>
        <v>#DIV/0!</v>
      </c>
      <c r="AI168" s="102" t="e">
        <f t="shared" si="58"/>
        <v>#DIV/0!</v>
      </c>
      <c r="AJ168" s="15"/>
      <c r="AK168" s="15" t="e">
        <f t="shared" si="63"/>
        <v>#DIV/0!</v>
      </c>
      <c r="AL168" s="15" t="e">
        <f t="shared" si="64"/>
        <v>#DIV/0!</v>
      </c>
      <c r="AM168" s="15">
        <f t="shared" si="59"/>
        <v>0</v>
      </c>
      <c r="AN168" s="15" t="e">
        <f t="shared" si="60"/>
        <v>#DIV/0!</v>
      </c>
    </row>
    <row r="169" spans="18:40" ht="13.8" x14ac:dyDescent="0.3">
      <c r="R169" s="51">
        <v>78.5</v>
      </c>
      <c r="S169" s="38">
        <f t="shared" si="54"/>
        <v>157</v>
      </c>
      <c r="T169" s="52">
        <f t="shared" si="44"/>
        <v>2.7401669256310974</v>
      </c>
      <c r="U169" s="52">
        <f t="shared" si="61"/>
        <v>0.97992470462082959</v>
      </c>
      <c r="V169" s="52">
        <f t="shared" si="62"/>
        <v>0.39073112848927377</v>
      </c>
      <c r="W169" s="52">
        <f t="shared" si="55"/>
        <v>0.19936793441719719</v>
      </c>
      <c r="X169" s="52">
        <f t="shared" si="56"/>
        <v>0</v>
      </c>
      <c r="Y169" s="15">
        <f t="shared" si="45"/>
        <v>0</v>
      </c>
      <c r="Z169" s="52">
        <f t="shared" si="46"/>
        <v>0</v>
      </c>
      <c r="AA169" s="52">
        <f t="shared" si="47"/>
        <v>0</v>
      </c>
      <c r="AB169" s="15" t="e">
        <f t="shared" si="48"/>
        <v>#DIV/0!</v>
      </c>
      <c r="AC169" s="15" t="e">
        <f t="shared" si="57"/>
        <v>#DIV/0!</v>
      </c>
      <c r="AD169" s="15" t="e">
        <f t="shared" si="49"/>
        <v>#DIV/0!</v>
      </c>
      <c r="AE169" s="15" t="e">
        <f t="shared" si="50"/>
        <v>#DIV/0!</v>
      </c>
      <c r="AF169" s="15" t="e">
        <f t="shared" si="51"/>
        <v>#DIV/0!</v>
      </c>
      <c r="AG169" s="15" t="e">
        <f t="shared" si="52"/>
        <v>#DIV/0!</v>
      </c>
      <c r="AH169" s="53" t="e">
        <f t="shared" si="53"/>
        <v>#DIV/0!</v>
      </c>
      <c r="AI169" s="102" t="e">
        <f t="shared" si="58"/>
        <v>#DIV/0!</v>
      </c>
      <c r="AJ169" s="15"/>
      <c r="AK169" s="15" t="e">
        <f t="shared" si="63"/>
        <v>#DIV/0!</v>
      </c>
      <c r="AL169" s="15" t="e">
        <f t="shared" si="64"/>
        <v>#DIV/0!</v>
      </c>
      <c r="AM169" s="15">
        <f t="shared" si="59"/>
        <v>0</v>
      </c>
      <c r="AN169" s="15" t="e">
        <f t="shared" si="60"/>
        <v>#DIV/0!</v>
      </c>
    </row>
    <row r="170" spans="18:40" ht="13.8" x14ac:dyDescent="0.3">
      <c r="R170" s="51">
        <v>79</v>
      </c>
      <c r="S170" s="38">
        <f t="shared" si="54"/>
        <v>158</v>
      </c>
      <c r="T170" s="52">
        <f t="shared" si="44"/>
        <v>2.7576202181510405</v>
      </c>
      <c r="U170" s="52">
        <f t="shared" si="61"/>
        <v>0.98162718344766398</v>
      </c>
      <c r="V170" s="52">
        <f t="shared" si="62"/>
        <v>0.37460659341591224</v>
      </c>
      <c r="W170" s="52">
        <f t="shared" si="55"/>
        <v>0.19080899537654492</v>
      </c>
      <c r="X170" s="52">
        <f t="shared" si="56"/>
        <v>0</v>
      </c>
      <c r="Y170" s="15">
        <f t="shared" si="45"/>
        <v>0</v>
      </c>
      <c r="Z170" s="52">
        <f t="shared" si="46"/>
        <v>0</v>
      </c>
      <c r="AA170" s="52">
        <f t="shared" si="47"/>
        <v>0</v>
      </c>
      <c r="AB170" s="15" t="e">
        <f t="shared" si="48"/>
        <v>#DIV/0!</v>
      </c>
      <c r="AC170" s="15" t="e">
        <f t="shared" si="57"/>
        <v>#DIV/0!</v>
      </c>
      <c r="AD170" s="15" t="e">
        <f t="shared" si="49"/>
        <v>#DIV/0!</v>
      </c>
      <c r="AE170" s="15" t="e">
        <f t="shared" si="50"/>
        <v>#DIV/0!</v>
      </c>
      <c r="AF170" s="15" t="e">
        <f t="shared" si="51"/>
        <v>#DIV/0!</v>
      </c>
      <c r="AG170" s="15" t="e">
        <f t="shared" si="52"/>
        <v>#DIV/0!</v>
      </c>
      <c r="AH170" s="53" t="e">
        <f t="shared" si="53"/>
        <v>#DIV/0!</v>
      </c>
      <c r="AI170" s="102" t="e">
        <f t="shared" si="58"/>
        <v>#DIV/0!</v>
      </c>
      <c r="AJ170" s="15"/>
      <c r="AK170" s="15" t="e">
        <f t="shared" si="63"/>
        <v>#DIV/0!</v>
      </c>
      <c r="AL170" s="15" t="e">
        <f t="shared" si="64"/>
        <v>#DIV/0!</v>
      </c>
      <c r="AM170" s="15">
        <f t="shared" si="59"/>
        <v>0</v>
      </c>
      <c r="AN170" s="15" t="e">
        <f t="shared" si="60"/>
        <v>#DIV/0!</v>
      </c>
    </row>
    <row r="171" spans="18:40" ht="13.8" x14ac:dyDescent="0.3">
      <c r="R171" s="51">
        <v>79.5</v>
      </c>
      <c r="S171" s="38">
        <f t="shared" si="54"/>
        <v>159</v>
      </c>
      <c r="T171" s="52">
        <f t="shared" si="44"/>
        <v>2.7750735106709841</v>
      </c>
      <c r="U171" s="52">
        <f t="shared" si="61"/>
        <v>0.98325490756395462</v>
      </c>
      <c r="V171" s="52">
        <f t="shared" si="62"/>
        <v>0.35836794954530021</v>
      </c>
      <c r="W171" s="52">
        <f t="shared" si="55"/>
        <v>0.18223552549214744</v>
      </c>
      <c r="X171" s="52">
        <f t="shared" si="56"/>
        <v>0</v>
      </c>
      <c r="Y171" s="15">
        <f t="shared" si="45"/>
        <v>0</v>
      </c>
      <c r="Z171" s="52">
        <f t="shared" si="46"/>
        <v>0</v>
      </c>
      <c r="AA171" s="52">
        <f t="shared" si="47"/>
        <v>0</v>
      </c>
      <c r="AB171" s="15" t="e">
        <f t="shared" si="48"/>
        <v>#DIV/0!</v>
      </c>
      <c r="AC171" s="15" t="e">
        <f t="shared" si="57"/>
        <v>#DIV/0!</v>
      </c>
      <c r="AD171" s="15" t="e">
        <f t="shared" si="49"/>
        <v>#DIV/0!</v>
      </c>
      <c r="AE171" s="15" t="e">
        <f t="shared" si="50"/>
        <v>#DIV/0!</v>
      </c>
      <c r="AF171" s="15" t="e">
        <f t="shared" si="51"/>
        <v>#DIV/0!</v>
      </c>
      <c r="AG171" s="15" t="e">
        <f t="shared" si="52"/>
        <v>#DIV/0!</v>
      </c>
      <c r="AH171" s="53" t="e">
        <f t="shared" si="53"/>
        <v>#DIV/0!</v>
      </c>
      <c r="AI171" s="102" t="e">
        <f t="shared" si="58"/>
        <v>#DIV/0!</v>
      </c>
      <c r="AJ171" s="15"/>
      <c r="AK171" s="15" t="e">
        <f t="shared" si="63"/>
        <v>#DIV/0!</v>
      </c>
      <c r="AL171" s="15" t="e">
        <f t="shared" si="64"/>
        <v>#DIV/0!</v>
      </c>
      <c r="AM171" s="15">
        <f t="shared" si="59"/>
        <v>0</v>
      </c>
      <c r="AN171" s="15" t="e">
        <f t="shared" si="60"/>
        <v>#DIV/0!</v>
      </c>
    </row>
    <row r="172" spans="18:40" ht="13.8" x14ac:dyDescent="0.3">
      <c r="R172" s="51">
        <v>80</v>
      </c>
      <c r="S172" s="38">
        <f t="shared" si="54"/>
        <v>160</v>
      </c>
      <c r="T172" s="52">
        <f t="shared" si="44"/>
        <v>2.7925268031909272</v>
      </c>
      <c r="U172" s="52">
        <f t="shared" si="61"/>
        <v>0.98480775301220802</v>
      </c>
      <c r="V172" s="52">
        <f t="shared" si="62"/>
        <v>0.34202014332566888</v>
      </c>
      <c r="W172" s="52">
        <f t="shared" si="55"/>
        <v>0.17364817766693041</v>
      </c>
      <c r="X172" s="52">
        <f t="shared" si="56"/>
        <v>0</v>
      </c>
      <c r="Y172" s="15">
        <f t="shared" si="45"/>
        <v>0</v>
      </c>
      <c r="Z172" s="52">
        <f t="shared" si="46"/>
        <v>0</v>
      </c>
      <c r="AA172" s="52">
        <f t="shared" si="47"/>
        <v>0</v>
      </c>
      <c r="AB172" s="15" t="e">
        <f t="shared" si="48"/>
        <v>#DIV/0!</v>
      </c>
      <c r="AC172" s="15" t="e">
        <f t="shared" si="57"/>
        <v>#DIV/0!</v>
      </c>
      <c r="AD172" s="15" t="e">
        <f t="shared" si="49"/>
        <v>#DIV/0!</v>
      </c>
      <c r="AE172" s="15" t="e">
        <f t="shared" si="50"/>
        <v>#DIV/0!</v>
      </c>
      <c r="AF172" s="15" t="e">
        <f t="shared" si="51"/>
        <v>#DIV/0!</v>
      </c>
      <c r="AG172" s="15" t="e">
        <f t="shared" si="52"/>
        <v>#DIV/0!</v>
      </c>
      <c r="AH172" s="53" t="e">
        <f t="shared" si="53"/>
        <v>#DIV/0!</v>
      </c>
      <c r="AI172" s="102" t="e">
        <f t="shared" si="58"/>
        <v>#DIV/0!</v>
      </c>
      <c r="AJ172" s="15"/>
      <c r="AK172" s="15" t="e">
        <f t="shared" si="63"/>
        <v>#DIV/0!</v>
      </c>
      <c r="AL172" s="15" t="e">
        <f t="shared" si="64"/>
        <v>#DIV/0!</v>
      </c>
      <c r="AM172" s="15">
        <f t="shared" si="59"/>
        <v>0</v>
      </c>
      <c r="AN172" s="15" t="e">
        <f t="shared" si="60"/>
        <v>#DIV/0!</v>
      </c>
    </row>
    <row r="173" spans="18:40" ht="13.8" x14ac:dyDescent="0.3">
      <c r="R173" s="51">
        <v>80.5</v>
      </c>
      <c r="S173" s="38">
        <f t="shared" si="54"/>
        <v>161</v>
      </c>
      <c r="T173" s="52">
        <f t="shared" si="44"/>
        <v>2.8099800957108707</v>
      </c>
      <c r="U173" s="52">
        <f t="shared" si="61"/>
        <v>0.98628560153723144</v>
      </c>
      <c r="V173" s="52">
        <f t="shared" si="62"/>
        <v>0.32556815445715659</v>
      </c>
      <c r="W173" s="52">
        <f t="shared" si="55"/>
        <v>0.1650476058606776</v>
      </c>
      <c r="X173" s="52">
        <f t="shared" si="56"/>
        <v>0</v>
      </c>
      <c r="Y173" s="15">
        <f t="shared" si="45"/>
        <v>0</v>
      </c>
      <c r="Z173" s="52">
        <f t="shared" si="46"/>
        <v>0</v>
      </c>
      <c r="AA173" s="52">
        <f t="shared" si="47"/>
        <v>0</v>
      </c>
      <c r="AB173" s="15" t="e">
        <f t="shared" si="48"/>
        <v>#DIV/0!</v>
      </c>
      <c r="AC173" s="15" t="e">
        <f t="shared" si="57"/>
        <v>#DIV/0!</v>
      </c>
      <c r="AD173" s="15" t="e">
        <f t="shared" si="49"/>
        <v>#DIV/0!</v>
      </c>
      <c r="AE173" s="15" t="e">
        <f t="shared" si="50"/>
        <v>#DIV/0!</v>
      </c>
      <c r="AF173" s="15" t="e">
        <f t="shared" si="51"/>
        <v>#DIV/0!</v>
      </c>
      <c r="AG173" s="15" t="e">
        <f t="shared" si="52"/>
        <v>#DIV/0!</v>
      </c>
      <c r="AH173" s="53" t="e">
        <f t="shared" si="53"/>
        <v>#DIV/0!</v>
      </c>
      <c r="AI173" s="102" t="e">
        <f t="shared" si="58"/>
        <v>#DIV/0!</v>
      </c>
      <c r="AJ173" s="15"/>
      <c r="AK173" s="15" t="e">
        <f t="shared" si="63"/>
        <v>#DIV/0!</v>
      </c>
      <c r="AL173" s="15" t="e">
        <f t="shared" si="64"/>
        <v>#DIV/0!</v>
      </c>
      <c r="AM173" s="15">
        <f t="shared" si="59"/>
        <v>0</v>
      </c>
      <c r="AN173" s="15" t="e">
        <f t="shared" si="60"/>
        <v>#DIV/0!</v>
      </c>
    </row>
    <row r="174" spans="18:40" ht="13.8" x14ac:dyDescent="0.3">
      <c r="R174" s="51">
        <v>81</v>
      </c>
      <c r="S174" s="38">
        <f t="shared" si="54"/>
        <v>162</v>
      </c>
      <c r="T174" s="52">
        <f t="shared" si="44"/>
        <v>2.8274333882308138</v>
      </c>
      <c r="U174" s="52">
        <f t="shared" si="61"/>
        <v>0.98768834059513777</v>
      </c>
      <c r="V174" s="52">
        <f t="shared" si="62"/>
        <v>0.30901699437494751</v>
      </c>
      <c r="W174" s="52">
        <f t="shared" si="55"/>
        <v>0.15643446504023092</v>
      </c>
      <c r="X174" s="52">
        <f t="shared" si="56"/>
        <v>0</v>
      </c>
      <c r="Y174" s="15">
        <f t="shared" si="45"/>
        <v>0</v>
      </c>
      <c r="Z174" s="52">
        <f t="shared" si="46"/>
        <v>0</v>
      </c>
      <c r="AA174" s="52">
        <f t="shared" si="47"/>
        <v>0</v>
      </c>
      <c r="AB174" s="15" t="e">
        <f t="shared" si="48"/>
        <v>#DIV/0!</v>
      </c>
      <c r="AC174" s="15" t="e">
        <f t="shared" si="57"/>
        <v>#DIV/0!</v>
      </c>
      <c r="AD174" s="15" t="e">
        <f t="shared" si="49"/>
        <v>#DIV/0!</v>
      </c>
      <c r="AE174" s="15" t="e">
        <f t="shared" si="50"/>
        <v>#DIV/0!</v>
      </c>
      <c r="AF174" s="15" t="e">
        <f t="shared" si="51"/>
        <v>#DIV/0!</v>
      </c>
      <c r="AG174" s="15" t="e">
        <f t="shared" si="52"/>
        <v>#DIV/0!</v>
      </c>
      <c r="AH174" s="53" t="e">
        <f t="shared" si="53"/>
        <v>#DIV/0!</v>
      </c>
      <c r="AI174" s="102" t="e">
        <f t="shared" si="58"/>
        <v>#DIV/0!</v>
      </c>
      <c r="AJ174" s="15"/>
      <c r="AK174" s="15" t="e">
        <f t="shared" si="63"/>
        <v>#DIV/0!</v>
      </c>
      <c r="AL174" s="15" t="e">
        <f t="shared" si="64"/>
        <v>#DIV/0!</v>
      </c>
      <c r="AM174" s="15">
        <f t="shared" si="59"/>
        <v>0</v>
      </c>
      <c r="AN174" s="15" t="e">
        <f t="shared" si="60"/>
        <v>#DIV/0!</v>
      </c>
    </row>
    <row r="175" spans="18:40" ht="13.8" x14ac:dyDescent="0.3">
      <c r="R175" s="51">
        <v>81.5</v>
      </c>
      <c r="S175" s="38">
        <f t="shared" si="54"/>
        <v>163</v>
      </c>
      <c r="T175" s="52">
        <f t="shared" si="44"/>
        <v>2.8448866807507573</v>
      </c>
      <c r="U175" s="52">
        <f t="shared" si="61"/>
        <v>0.98901586336191682</v>
      </c>
      <c r="V175" s="52">
        <f t="shared" si="62"/>
        <v>0.2923717047227366</v>
      </c>
      <c r="W175" s="52">
        <f t="shared" si="55"/>
        <v>0.14780941112961055</v>
      </c>
      <c r="X175" s="52">
        <f t="shared" si="56"/>
        <v>0</v>
      </c>
      <c r="Y175" s="15">
        <f t="shared" si="45"/>
        <v>0</v>
      </c>
      <c r="Z175" s="52">
        <f t="shared" si="46"/>
        <v>0</v>
      </c>
      <c r="AA175" s="52">
        <f t="shared" si="47"/>
        <v>0</v>
      </c>
      <c r="AB175" s="15" t="e">
        <f t="shared" si="48"/>
        <v>#DIV/0!</v>
      </c>
      <c r="AC175" s="15" t="e">
        <f t="shared" si="57"/>
        <v>#DIV/0!</v>
      </c>
      <c r="AD175" s="15" t="e">
        <f t="shared" si="49"/>
        <v>#DIV/0!</v>
      </c>
      <c r="AE175" s="15" t="e">
        <f t="shared" si="50"/>
        <v>#DIV/0!</v>
      </c>
      <c r="AF175" s="15" t="e">
        <f t="shared" si="51"/>
        <v>#DIV/0!</v>
      </c>
      <c r="AG175" s="15" t="e">
        <f t="shared" si="52"/>
        <v>#DIV/0!</v>
      </c>
      <c r="AH175" s="53" t="e">
        <f t="shared" si="53"/>
        <v>#DIV/0!</v>
      </c>
      <c r="AI175" s="102" t="e">
        <f t="shared" si="58"/>
        <v>#DIV/0!</v>
      </c>
      <c r="AJ175" s="15"/>
      <c r="AK175" s="15" t="e">
        <f t="shared" si="63"/>
        <v>#DIV/0!</v>
      </c>
      <c r="AL175" s="15" t="e">
        <f t="shared" si="64"/>
        <v>#DIV/0!</v>
      </c>
      <c r="AM175" s="15">
        <f t="shared" si="59"/>
        <v>0</v>
      </c>
      <c r="AN175" s="15" t="e">
        <f t="shared" si="60"/>
        <v>#DIV/0!</v>
      </c>
    </row>
    <row r="176" spans="18:40" ht="13.8" x14ac:dyDescent="0.3">
      <c r="R176" s="51">
        <v>82</v>
      </c>
      <c r="S176" s="38">
        <f t="shared" si="54"/>
        <v>164</v>
      </c>
      <c r="T176" s="52">
        <f t="shared" si="44"/>
        <v>2.8623399732707004</v>
      </c>
      <c r="U176" s="52">
        <f t="shared" si="61"/>
        <v>0.99026806874157036</v>
      </c>
      <c r="V176" s="52">
        <f t="shared" si="62"/>
        <v>0.27563735581699922</v>
      </c>
      <c r="W176" s="52">
        <f t="shared" si="55"/>
        <v>0.13917310096006547</v>
      </c>
      <c r="X176" s="52">
        <f t="shared" si="56"/>
        <v>0</v>
      </c>
      <c r="Y176" s="15">
        <f t="shared" si="45"/>
        <v>0</v>
      </c>
      <c r="Z176" s="52">
        <f t="shared" si="46"/>
        <v>0</v>
      </c>
      <c r="AA176" s="52">
        <f t="shared" si="47"/>
        <v>0</v>
      </c>
      <c r="AB176" s="15" t="e">
        <f t="shared" si="48"/>
        <v>#DIV/0!</v>
      </c>
      <c r="AC176" s="15" t="e">
        <f t="shared" si="57"/>
        <v>#DIV/0!</v>
      </c>
      <c r="AD176" s="15" t="e">
        <f t="shared" si="49"/>
        <v>#DIV/0!</v>
      </c>
      <c r="AE176" s="15" t="e">
        <f t="shared" si="50"/>
        <v>#DIV/0!</v>
      </c>
      <c r="AF176" s="15" t="e">
        <f t="shared" si="51"/>
        <v>#DIV/0!</v>
      </c>
      <c r="AG176" s="15" t="e">
        <f t="shared" si="52"/>
        <v>#DIV/0!</v>
      </c>
      <c r="AH176" s="53" t="e">
        <f t="shared" si="53"/>
        <v>#DIV/0!</v>
      </c>
      <c r="AI176" s="102" t="e">
        <f t="shared" si="58"/>
        <v>#DIV/0!</v>
      </c>
      <c r="AJ176" s="15"/>
      <c r="AK176" s="15" t="e">
        <f t="shared" si="63"/>
        <v>#DIV/0!</v>
      </c>
      <c r="AL176" s="15" t="e">
        <f t="shared" si="64"/>
        <v>#DIV/0!</v>
      </c>
      <c r="AM176" s="15">
        <f t="shared" si="59"/>
        <v>0</v>
      </c>
      <c r="AN176" s="15" t="e">
        <f t="shared" si="60"/>
        <v>#DIV/0!</v>
      </c>
    </row>
    <row r="177" spans="18:40" ht="13.8" x14ac:dyDescent="0.3">
      <c r="R177" s="51">
        <v>82.5</v>
      </c>
      <c r="S177" s="38">
        <f t="shared" si="54"/>
        <v>165</v>
      </c>
      <c r="T177" s="52">
        <f t="shared" si="44"/>
        <v>2.8797932657906435</v>
      </c>
      <c r="U177" s="52">
        <f t="shared" si="61"/>
        <v>0.99144486137381038</v>
      </c>
      <c r="V177" s="52">
        <f t="shared" si="62"/>
        <v>0.25881904510252102</v>
      </c>
      <c r="W177" s="52">
        <f t="shared" si="55"/>
        <v>0.13052619222005171</v>
      </c>
      <c r="X177" s="52">
        <f t="shared" si="56"/>
        <v>0</v>
      </c>
      <c r="Y177" s="15">
        <f t="shared" si="45"/>
        <v>0</v>
      </c>
      <c r="Z177" s="52">
        <f t="shared" si="46"/>
        <v>0</v>
      </c>
      <c r="AA177" s="52">
        <f t="shared" si="47"/>
        <v>0</v>
      </c>
      <c r="AB177" s="15" t="e">
        <f t="shared" si="48"/>
        <v>#DIV/0!</v>
      </c>
      <c r="AC177" s="15" t="e">
        <f t="shared" si="57"/>
        <v>#DIV/0!</v>
      </c>
      <c r="AD177" s="15" t="e">
        <f t="shared" si="49"/>
        <v>#DIV/0!</v>
      </c>
      <c r="AE177" s="15" t="e">
        <f t="shared" si="50"/>
        <v>#DIV/0!</v>
      </c>
      <c r="AF177" s="15" t="e">
        <f t="shared" si="51"/>
        <v>#DIV/0!</v>
      </c>
      <c r="AG177" s="15" t="e">
        <f t="shared" si="52"/>
        <v>#DIV/0!</v>
      </c>
      <c r="AH177" s="53" t="e">
        <f t="shared" si="53"/>
        <v>#DIV/0!</v>
      </c>
      <c r="AI177" s="102" t="e">
        <f t="shared" si="58"/>
        <v>#DIV/0!</v>
      </c>
      <c r="AJ177" s="15"/>
      <c r="AK177" s="15" t="e">
        <f t="shared" si="63"/>
        <v>#DIV/0!</v>
      </c>
      <c r="AL177" s="15" t="e">
        <f t="shared" si="64"/>
        <v>#DIV/0!</v>
      </c>
      <c r="AM177" s="15">
        <f t="shared" si="59"/>
        <v>0</v>
      </c>
      <c r="AN177" s="15" t="e">
        <f t="shared" si="60"/>
        <v>#DIV/0!</v>
      </c>
    </row>
    <row r="178" spans="18:40" ht="13.8" x14ac:dyDescent="0.3">
      <c r="R178" s="51">
        <v>83</v>
      </c>
      <c r="S178" s="38">
        <f t="shared" si="54"/>
        <v>166</v>
      </c>
      <c r="T178" s="52">
        <f t="shared" si="44"/>
        <v>2.8972465583105871</v>
      </c>
      <c r="U178" s="52">
        <f t="shared" si="61"/>
        <v>0.99254615164132198</v>
      </c>
      <c r="V178" s="52">
        <f t="shared" si="62"/>
        <v>0.24192189559966773</v>
      </c>
      <c r="W178" s="52">
        <f t="shared" si="55"/>
        <v>0.12186934340514749</v>
      </c>
      <c r="X178" s="52">
        <f t="shared" si="56"/>
        <v>0</v>
      </c>
      <c r="Y178" s="15">
        <f t="shared" si="45"/>
        <v>0</v>
      </c>
      <c r="Z178" s="52">
        <f t="shared" si="46"/>
        <v>0</v>
      </c>
      <c r="AA178" s="52">
        <f t="shared" si="47"/>
        <v>0</v>
      </c>
      <c r="AB178" s="15" t="e">
        <f t="shared" si="48"/>
        <v>#DIV/0!</v>
      </c>
      <c r="AC178" s="15" t="e">
        <f t="shared" si="57"/>
        <v>#DIV/0!</v>
      </c>
      <c r="AD178" s="15" t="e">
        <f t="shared" si="49"/>
        <v>#DIV/0!</v>
      </c>
      <c r="AE178" s="15" t="e">
        <f t="shared" si="50"/>
        <v>#DIV/0!</v>
      </c>
      <c r="AF178" s="15" t="e">
        <f t="shared" si="51"/>
        <v>#DIV/0!</v>
      </c>
      <c r="AG178" s="15" t="e">
        <f t="shared" si="52"/>
        <v>#DIV/0!</v>
      </c>
      <c r="AH178" s="53" t="e">
        <f t="shared" si="53"/>
        <v>#DIV/0!</v>
      </c>
      <c r="AI178" s="102" t="e">
        <f t="shared" si="58"/>
        <v>#DIV/0!</v>
      </c>
      <c r="AJ178" s="15"/>
      <c r="AK178" s="15" t="e">
        <f t="shared" si="63"/>
        <v>#DIV/0!</v>
      </c>
      <c r="AL178" s="15" t="e">
        <f t="shared" si="64"/>
        <v>#DIV/0!</v>
      </c>
      <c r="AM178" s="15">
        <f t="shared" si="59"/>
        <v>0</v>
      </c>
      <c r="AN178" s="15" t="e">
        <f t="shared" si="60"/>
        <v>#DIV/0!</v>
      </c>
    </row>
    <row r="179" spans="18:40" ht="13.8" x14ac:dyDescent="0.3">
      <c r="R179" s="51">
        <v>83.5</v>
      </c>
      <c r="S179" s="38">
        <f t="shared" si="54"/>
        <v>167</v>
      </c>
      <c r="T179" s="52">
        <f t="shared" si="44"/>
        <v>2.9146998508305302</v>
      </c>
      <c r="U179" s="52">
        <f t="shared" si="61"/>
        <v>0.99357185567658746</v>
      </c>
      <c r="V179" s="52">
        <f t="shared" si="62"/>
        <v>0.2249510543438652</v>
      </c>
      <c r="W179" s="52">
        <f t="shared" si="55"/>
        <v>0.11320321376790683</v>
      </c>
      <c r="X179" s="52">
        <f t="shared" si="56"/>
        <v>0</v>
      </c>
      <c r="Y179" s="15">
        <f t="shared" si="45"/>
        <v>0</v>
      </c>
      <c r="Z179" s="52">
        <f t="shared" si="46"/>
        <v>0</v>
      </c>
      <c r="AA179" s="52">
        <f t="shared" si="47"/>
        <v>0</v>
      </c>
      <c r="AB179" s="15" t="e">
        <f t="shared" si="48"/>
        <v>#DIV/0!</v>
      </c>
      <c r="AC179" s="15" t="e">
        <f t="shared" si="57"/>
        <v>#DIV/0!</v>
      </c>
      <c r="AD179" s="15" t="e">
        <f t="shared" si="49"/>
        <v>#DIV/0!</v>
      </c>
      <c r="AE179" s="15" t="e">
        <f t="shared" si="50"/>
        <v>#DIV/0!</v>
      </c>
      <c r="AF179" s="15" t="e">
        <f t="shared" si="51"/>
        <v>#DIV/0!</v>
      </c>
      <c r="AG179" s="15" t="e">
        <f t="shared" si="52"/>
        <v>#DIV/0!</v>
      </c>
      <c r="AH179" s="53" t="e">
        <f t="shared" si="53"/>
        <v>#DIV/0!</v>
      </c>
      <c r="AI179" s="102" t="e">
        <f t="shared" si="58"/>
        <v>#DIV/0!</v>
      </c>
      <c r="AJ179" s="15"/>
      <c r="AK179" s="15" t="e">
        <f t="shared" si="63"/>
        <v>#DIV/0!</v>
      </c>
      <c r="AL179" s="15" t="e">
        <f t="shared" si="64"/>
        <v>#DIV/0!</v>
      </c>
      <c r="AM179" s="15">
        <f t="shared" si="59"/>
        <v>0</v>
      </c>
      <c r="AN179" s="15" t="e">
        <f t="shared" si="60"/>
        <v>#DIV/0!</v>
      </c>
    </row>
    <row r="180" spans="18:40" ht="13.8" x14ac:dyDescent="0.3">
      <c r="R180" s="51">
        <v>84</v>
      </c>
      <c r="S180" s="38">
        <f t="shared" si="54"/>
        <v>168</v>
      </c>
      <c r="T180" s="52">
        <f t="shared" si="44"/>
        <v>2.9321531433504737</v>
      </c>
      <c r="U180" s="52">
        <f t="shared" si="61"/>
        <v>0.99452189536827329</v>
      </c>
      <c r="V180" s="52">
        <f t="shared" si="62"/>
        <v>0.20791169081775931</v>
      </c>
      <c r="W180" s="52">
        <f t="shared" si="55"/>
        <v>0.10452846326765346</v>
      </c>
      <c r="X180" s="52">
        <f t="shared" si="56"/>
        <v>0</v>
      </c>
      <c r="Y180" s="15">
        <f t="shared" si="45"/>
        <v>0</v>
      </c>
      <c r="Z180" s="52">
        <f t="shared" si="46"/>
        <v>0</v>
      </c>
      <c r="AA180" s="52">
        <f t="shared" si="47"/>
        <v>0</v>
      </c>
      <c r="AB180" s="15" t="e">
        <f t="shared" si="48"/>
        <v>#DIV/0!</v>
      </c>
      <c r="AC180" s="15" t="e">
        <f t="shared" si="57"/>
        <v>#DIV/0!</v>
      </c>
      <c r="AD180" s="15" t="e">
        <f t="shared" si="49"/>
        <v>#DIV/0!</v>
      </c>
      <c r="AE180" s="15" t="e">
        <f t="shared" si="50"/>
        <v>#DIV/0!</v>
      </c>
      <c r="AF180" s="15" t="e">
        <f t="shared" si="51"/>
        <v>#DIV/0!</v>
      </c>
      <c r="AG180" s="15" t="e">
        <f t="shared" si="52"/>
        <v>#DIV/0!</v>
      </c>
      <c r="AH180" s="53" t="e">
        <f t="shared" si="53"/>
        <v>#DIV/0!</v>
      </c>
      <c r="AI180" s="102" t="e">
        <f t="shared" si="58"/>
        <v>#DIV/0!</v>
      </c>
      <c r="AJ180" s="15"/>
      <c r="AK180" s="15" t="e">
        <f t="shared" si="63"/>
        <v>#DIV/0!</v>
      </c>
      <c r="AL180" s="15" t="e">
        <f t="shared" si="64"/>
        <v>#DIV/0!</v>
      </c>
      <c r="AM180" s="15">
        <f t="shared" si="59"/>
        <v>0</v>
      </c>
      <c r="AN180" s="15" t="e">
        <f t="shared" si="60"/>
        <v>#DIV/0!</v>
      </c>
    </row>
    <row r="181" spans="18:40" ht="13.8" x14ac:dyDescent="0.3">
      <c r="R181" s="51">
        <v>84.5</v>
      </c>
      <c r="S181" s="38">
        <f t="shared" si="54"/>
        <v>169</v>
      </c>
      <c r="T181" s="52">
        <f t="shared" si="44"/>
        <v>2.9496064358704168</v>
      </c>
      <c r="U181" s="52">
        <f t="shared" si="61"/>
        <v>0.99539619836717874</v>
      </c>
      <c r="V181" s="52">
        <f t="shared" si="62"/>
        <v>0.19080899537654497</v>
      </c>
      <c r="W181" s="52">
        <f t="shared" si="55"/>
        <v>9.5845752520224065E-2</v>
      </c>
      <c r="X181" s="52">
        <f t="shared" si="56"/>
        <v>0</v>
      </c>
      <c r="Y181" s="15">
        <f t="shared" si="45"/>
        <v>0</v>
      </c>
      <c r="Z181" s="52">
        <f t="shared" si="46"/>
        <v>0</v>
      </c>
      <c r="AA181" s="52">
        <f t="shared" si="47"/>
        <v>0</v>
      </c>
      <c r="AB181" s="15" t="e">
        <f t="shared" si="48"/>
        <v>#DIV/0!</v>
      </c>
      <c r="AC181" s="15" t="e">
        <f t="shared" si="57"/>
        <v>#DIV/0!</v>
      </c>
      <c r="AD181" s="15" t="e">
        <f t="shared" si="49"/>
        <v>#DIV/0!</v>
      </c>
      <c r="AE181" s="15" t="e">
        <f t="shared" si="50"/>
        <v>#DIV/0!</v>
      </c>
      <c r="AF181" s="15" t="e">
        <f t="shared" si="51"/>
        <v>#DIV/0!</v>
      </c>
      <c r="AG181" s="15" t="e">
        <f t="shared" si="52"/>
        <v>#DIV/0!</v>
      </c>
      <c r="AH181" s="53" t="e">
        <f t="shared" si="53"/>
        <v>#DIV/0!</v>
      </c>
      <c r="AI181" s="102" t="e">
        <f t="shared" si="58"/>
        <v>#DIV/0!</v>
      </c>
      <c r="AJ181" s="15"/>
      <c r="AK181" s="15" t="e">
        <f t="shared" si="63"/>
        <v>#DIV/0!</v>
      </c>
      <c r="AL181" s="15" t="e">
        <f t="shared" si="64"/>
        <v>#DIV/0!</v>
      </c>
      <c r="AM181" s="15">
        <f t="shared" si="59"/>
        <v>0</v>
      </c>
      <c r="AN181" s="15" t="e">
        <f t="shared" si="60"/>
        <v>#DIV/0!</v>
      </c>
    </row>
    <row r="182" spans="18:40" ht="13.8" x14ac:dyDescent="0.3">
      <c r="R182" s="51">
        <v>85</v>
      </c>
      <c r="S182" s="38">
        <f t="shared" si="54"/>
        <v>170</v>
      </c>
      <c r="T182" s="52">
        <f t="shared" si="44"/>
        <v>2.9670597283903604</v>
      </c>
      <c r="U182" s="52">
        <f t="shared" si="61"/>
        <v>0.99619469809174555</v>
      </c>
      <c r="V182" s="52">
        <f t="shared" si="62"/>
        <v>0.17364817766693028</v>
      </c>
      <c r="W182" s="52">
        <f t="shared" si="55"/>
        <v>8.7155742747658138E-2</v>
      </c>
      <c r="X182" s="52">
        <f t="shared" si="56"/>
        <v>0</v>
      </c>
      <c r="Y182" s="15">
        <f t="shared" si="45"/>
        <v>0</v>
      </c>
      <c r="Z182" s="52">
        <f t="shared" si="46"/>
        <v>0</v>
      </c>
      <c r="AA182" s="52">
        <f t="shared" si="47"/>
        <v>0</v>
      </c>
      <c r="AB182" s="15" t="e">
        <f t="shared" si="48"/>
        <v>#DIV/0!</v>
      </c>
      <c r="AC182" s="15" t="e">
        <f t="shared" si="57"/>
        <v>#DIV/0!</v>
      </c>
      <c r="AD182" s="15" t="e">
        <f t="shared" si="49"/>
        <v>#DIV/0!</v>
      </c>
      <c r="AE182" s="15" t="e">
        <f t="shared" si="50"/>
        <v>#DIV/0!</v>
      </c>
      <c r="AF182" s="15" t="e">
        <f t="shared" si="51"/>
        <v>#DIV/0!</v>
      </c>
      <c r="AG182" s="15" t="e">
        <f t="shared" si="52"/>
        <v>#DIV/0!</v>
      </c>
      <c r="AH182" s="53" t="e">
        <f t="shared" si="53"/>
        <v>#DIV/0!</v>
      </c>
      <c r="AI182" s="102" t="e">
        <f t="shared" si="58"/>
        <v>#DIV/0!</v>
      </c>
      <c r="AJ182" s="15"/>
      <c r="AK182" s="15" t="e">
        <f t="shared" si="63"/>
        <v>#DIV/0!</v>
      </c>
      <c r="AL182" s="15" t="e">
        <f t="shared" si="64"/>
        <v>#DIV/0!</v>
      </c>
      <c r="AM182" s="15">
        <f t="shared" si="59"/>
        <v>0</v>
      </c>
      <c r="AN182" s="15" t="e">
        <f t="shared" si="60"/>
        <v>#DIV/0!</v>
      </c>
    </row>
    <row r="183" spans="18:40" ht="13.8" x14ac:dyDescent="0.3">
      <c r="R183" s="51">
        <v>85.5</v>
      </c>
      <c r="S183" s="38">
        <f t="shared" si="54"/>
        <v>171</v>
      </c>
      <c r="T183" s="52">
        <f t="shared" si="44"/>
        <v>2.9845130209103035</v>
      </c>
      <c r="U183" s="52">
        <f t="shared" si="61"/>
        <v>0.99691733373312796</v>
      </c>
      <c r="V183" s="52">
        <f t="shared" si="62"/>
        <v>0.15643446504023098</v>
      </c>
      <c r="W183" s="52">
        <f t="shared" si="55"/>
        <v>7.8459095727844999E-2</v>
      </c>
      <c r="X183" s="52">
        <f t="shared" si="56"/>
        <v>0</v>
      </c>
      <c r="Y183" s="15">
        <f t="shared" si="45"/>
        <v>0</v>
      </c>
      <c r="Z183" s="52">
        <f t="shared" si="46"/>
        <v>0</v>
      </c>
      <c r="AA183" s="52">
        <f t="shared" si="47"/>
        <v>0</v>
      </c>
      <c r="AB183" s="15" t="e">
        <f t="shared" si="48"/>
        <v>#DIV/0!</v>
      </c>
      <c r="AC183" s="15" t="e">
        <f t="shared" si="57"/>
        <v>#DIV/0!</v>
      </c>
      <c r="AD183" s="15" t="e">
        <f t="shared" si="49"/>
        <v>#DIV/0!</v>
      </c>
      <c r="AE183" s="15" t="e">
        <f t="shared" si="50"/>
        <v>#DIV/0!</v>
      </c>
      <c r="AF183" s="15" t="e">
        <f t="shared" si="51"/>
        <v>#DIV/0!</v>
      </c>
      <c r="AG183" s="15" t="e">
        <f t="shared" si="52"/>
        <v>#DIV/0!</v>
      </c>
      <c r="AH183" s="53" t="e">
        <f t="shared" si="53"/>
        <v>#DIV/0!</v>
      </c>
      <c r="AI183" s="102" t="e">
        <f t="shared" si="58"/>
        <v>#DIV/0!</v>
      </c>
      <c r="AJ183" s="15"/>
      <c r="AK183" s="15" t="e">
        <f t="shared" si="63"/>
        <v>#DIV/0!</v>
      </c>
      <c r="AL183" s="15" t="e">
        <f t="shared" si="64"/>
        <v>#DIV/0!</v>
      </c>
      <c r="AM183" s="15">
        <f t="shared" si="59"/>
        <v>0</v>
      </c>
      <c r="AN183" s="15" t="e">
        <f t="shared" si="60"/>
        <v>#DIV/0!</v>
      </c>
    </row>
    <row r="184" spans="18:40" ht="13.8" x14ac:dyDescent="0.3">
      <c r="R184" s="51">
        <v>86</v>
      </c>
      <c r="S184" s="38">
        <f t="shared" si="54"/>
        <v>172</v>
      </c>
      <c r="T184" s="52">
        <f t="shared" si="44"/>
        <v>3.001966313430247</v>
      </c>
      <c r="U184" s="52">
        <f t="shared" si="61"/>
        <v>0.9975640502598242</v>
      </c>
      <c r="V184" s="52">
        <f t="shared" si="62"/>
        <v>0.13917310096006533</v>
      </c>
      <c r="W184" s="52">
        <f t="shared" si="55"/>
        <v>6.9756473744125233E-2</v>
      </c>
      <c r="X184" s="52">
        <f t="shared" si="56"/>
        <v>0</v>
      </c>
      <c r="Y184" s="15">
        <f t="shared" si="45"/>
        <v>0</v>
      </c>
      <c r="Z184" s="52">
        <f t="shared" si="46"/>
        <v>0</v>
      </c>
      <c r="AA184" s="52">
        <f t="shared" si="47"/>
        <v>0</v>
      </c>
      <c r="AB184" s="15" t="e">
        <f t="shared" si="48"/>
        <v>#DIV/0!</v>
      </c>
      <c r="AC184" s="15" t="e">
        <f t="shared" si="57"/>
        <v>#DIV/0!</v>
      </c>
      <c r="AD184" s="15" t="e">
        <f t="shared" si="49"/>
        <v>#DIV/0!</v>
      </c>
      <c r="AE184" s="15" t="e">
        <f t="shared" si="50"/>
        <v>#DIV/0!</v>
      </c>
      <c r="AF184" s="15" t="e">
        <f t="shared" si="51"/>
        <v>#DIV/0!</v>
      </c>
      <c r="AG184" s="15" t="e">
        <f t="shared" si="52"/>
        <v>#DIV/0!</v>
      </c>
      <c r="AH184" s="53" t="e">
        <f t="shared" si="53"/>
        <v>#DIV/0!</v>
      </c>
      <c r="AI184" s="102" t="e">
        <f t="shared" si="58"/>
        <v>#DIV/0!</v>
      </c>
      <c r="AJ184" s="15"/>
      <c r="AK184" s="15" t="e">
        <f t="shared" si="63"/>
        <v>#DIV/0!</v>
      </c>
      <c r="AL184" s="15" t="e">
        <f t="shared" si="64"/>
        <v>#DIV/0!</v>
      </c>
      <c r="AM184" s="15">
        <f t="shared" si="59"/>
        <v>0</v>
      </c>
      <c r="AN184" s="15" t="e">
        <f t="shared" si="60"/>
        <v>#DIV/0!</v>
      </c>
    </row>
    <row r="185" spans="18:40" ht="13.8" x14ac:dyDescent="0.3">
      <c r="R185" s="51">
        <v>86.5</v>
      </c>
      <c r="S185" s="38">
        <f t="shared" si="54"/>
        <v>173</v>
      </c>
      <c r="T185" s="52">
        <f t="shared" si="44"/>
        <v>3.0194196059501901</v>
      </c>
      <c r="U185" s="52">
        <f t="shared" si="61"/>
        <v>0.99813479842186692</v>
      </c>
      <c r="V185" s="52">
        <f t="shared" si="62"/>
        <v>0.12186934340514755</v>
      </c>
      <c r="W185" s="52">
        <f t="shared" si="55"/>
        <v>6.1048539534856908E-2</v>
      </c>
      <c r="X185" s="52">
        <f t="shared" si="56"/>
        <v>0</v>
      </c>
      <c r="Y185" s="15">
        <f t="shared" si="45"/>
        <v>0</v>
      </c>
      <c r="Z185" s="52">
        <f t="shared" si="46"/>
        <v>0</v>
      </c>
      <c r="AA185" s="52">
        <f t="shared" si="47"/>
        <v>0</v>
      </c>
      <c r="AB185" s="15" t="e">
        <f t="shared" si="48"/>
        <v>#DIV/0!</v>
      </c>
      <c r="AC185" s="15" t="e">
        <f t="shared" si="57"/>
        <v>#DIV/0!</v>
      </c>
      <c r="AD185" s="15" t="e">
        <f t="shared" si="49"/>
        <v>#DIV/0!</v>
      </c>
      <c r="AE185" s="15" t="e">
        <f t="shared" si="50"/>
        <v>#DIV/0!</v>
      </c>
      <c r="AF185" s="15" t="e">
        <f t="shared" si="51"/>
        <v>#DIV/0!</v>
      </c>
      <c r="AG185" s="15" t="e">
        <f t="shared" si="52"/>
        <v>#DIV/0!</v>
      </c>
      <c r="AH185" s="53" t="e">
        <f t="shared" si="53"/>
        <v>#DIV/0!</v>
      </c>
      <c r="AI185" s="102" t="e">
        <f t="shared" si="58"/>
        <v>#DIV/0!</v>
      </c>
      <c r="AJ185" s="15"/>
      <c r="AK185" s="15" t="e">
        <f t="shared" si="63"/>
        <v>#DIV/0!</v>
      </c>
      <c r="AL185" s="15" t="e">
        <f t="shared" si="64"/>
        <v>#DIV/0!</v>
      </c>
      <c r="AM185" s="15">
        <f t="shared" si="59"/>
        <v>0</v>
      </c>
      <c r="AN185" s="15" t="e">
        <f t="shared" si="60"/>
        <v>#DIV/0!</v>
      </c>
    </row>
    <row r="186" spans="18:40" ht="13.8" x14ac:dyDescent="0.3">
      <c r="R186" s="51">
        <v>87</v>
      </c>
      <c r="S186" s="38">
        <f t="shared" si="54"/>
        <v>174</v>
      </c>
      <c r="T186" s="52">
        <f t="shared" si="44"/>
        <v>3.0368728984701332</v>
      </c>
      <c r="U186" s="52">
        <f t="shared" si="61"/>
        <v>0.99862953475457383</v>
      </c>
      <c r="V186" s="52">
        <f t="shared" si="62"/>
        <v>0.10452846326765373</v>
      </c>
      <c r="W186" s="52">
        <f t="shared" si="55"/>
        <v>5.2335956242943966E-2</v>
      </c>
      <c r="X186" s="52">
        <f t="shared" si="56"/>
        <v>0</v>
      </c>
      <c r="Y186" s="15">
        <f t="shared" si="45"/>
        <v>0</v>
      </c>
      <c r="Z186" s="52">
        <f t="shared" si="46"/>
        <v>0</v>
      </c>
      <c r="AA186" s="52">
        <f t="shared" si="47"/>
        <v>0</v>
      </c>
      <c r="AB186" s="15" t="e">
        <f t="shared" si="48"/>
        <v>#DIV/0!</v>
      </c>
      <c r="AC186" s="15" t="e">
        <f t="shared" si="57"/>
        <v>#DIV/0!</v>
      </c>
      <c r="AD186" s="15" t="e">
        <f t="shared" si="49"/>
        <v>#DIV/0!</v>
      </c>
      <c r="AE186" s="15" t="e">
        <f t="shared" si="50"/>
        <v>#DIV/0!</v>
      </c>
      <c r="AF186" s="15" t="e">
        <f t="shared" si="51"/>
        <v>#DIV/0!</v>
      </c>
      <c r="AG186" s="15" t="e">
        <f t="shared" si="52"/>
        <v>#DIV/0!</v>
      </c>
      <c r="AH186" s="53" t="e">
        <f t="shared" si="53"/>
        <v>#DIV/0!</v>
      </c>
      <c r="AI186" s="102" t="e">
        <f t="shared" si="58"/>
        <v>#DIV/0!</v>
      </c>
      <c r="AJ186" s="15"/>
      <c r="AK186" s="15" t="e">
        <f t="shared" si="63"/>
        <v>#DIV/0!</v>
      </c>
      <c r="AL186" s="15" t="e">
        <f t="shared" si="64"/>
        <v>#DIV/0!</v>
      </c>
      <c r="AM186" s="15">
        <f t="shared" si="59"/>
        <v>0</v>
      </c>
      <c r="AN186" s="15" t="e">
        <f t="shared" si="60"/>
        <v>#DIV/0!</v>
      </c>
    </row>
    <row r="187" spans="18:40" ht="13.8" x14ac:dyDescent="0.3">
      <c r="R187" s="51">
        <v>87.5</v>
      </c>
      <c r="S187" s="38">
        <f t="shared" si="54"/>
        <v>175</v>
      </c>
      <c r="T187" s="52">
        <f t="shared" si="44"/>
        <v>3.0543261909900767</v>
      </c>
      <c r="U187" s="52">
        <f t="shared" si="61"/>
        <v>0.9990482215818578</v>
      </c>
      <c r="V187" s="52">
        <f t="shared" si="62"/>
        <v>8.7155742747658194E-2</v>
      </c>
      <c r="W187" s="52">
        <f t="shared" si="55"/>
        <v>4.3619387365336007E-2</v>
      </c>
      <c r="X187" s="52">
        <f t="shared" si="56"/>
        <v>0</v>
      </c>
      <c r="Y187" s="15">
        <f t="shared" si="45"/>
        <v>0</v>
      </c>
      <c r="Z187" s="52">
        <f>$W$4*(1-W187)</f>
        <v>0</v>
      </c>
      <c r="AA187" s="52">
        <f t="shared" si="47"/>
        <v>0</v>
      </c>
      <c r="AB187" s="15" t="e">
        <f t="shared" si="48"/>
        <v>#DIV/0!</v>
      </c>
      <c r="AC187" s="15" t="e">
        <f t="shared" si="57"/>
        <v>#DIV/0!</v>
      </c>
      <c r="AD187" s="15" t="e">
        <f t="shared" si="49"/>
        <v>#DIV/0!</v>
      </c>
      <c r="AE187" s="15" t="e">
        <f t="shared" si="50"/>
        <v>#DIV/0!</v>
      </c>
      <c r="AF187" s="15" t="e">
        <f t="shared" si="51"/>
        <v>#DIV/0!</v>
      </c>
      <c r="AG187" s="15" t="e">
        <f t="shared" si="52"/>
        <v>#DIV/0!</v>
      </c>
      <c r="AH187" s="53" t="e">
        <f t="shared" si="53"/>
        <v>#DIV/0!</v>
      </c>
      <c r="AI187" s="102" t="e">
        <f t="shared" si="58"/>
        <v>#DIV/0!</v>
      </c>
      <c r="AJ187" s="15"/>
      <c r="AK187" s="15" t="e">
        <f t="shared" si="63"/>
        <v>#DIV/0!</v>
      </c>
      <c r="AL187" s="15" t="e">
        <f t="shared" si="64"/>
        <v>#DIV/0!</v>
      </c>
      <c r="AM187" s="15">
        <f t="shared" si="59"/>
        <v>0</v>
      </c>
      <c r="AN187" s="15" t="e">
        <f t="shared" si="60"/>
        <v>#DIV/0!</v>
      </c>
    </row>
    <row r="188" spans="18:40" ht="13.8" x14ac:dyDescent="0.3">
      <c r="R188" s="51">
        <v>88</v>
      </c>
      <c r="S188" s="38">
        <f t="shared" si="54"/>
        <v>176</v>
      </c>
      <c r="T188" s="52">
        <f t="shared" si="44"/>
        <v>3.0717794835100198</v>
      </c>
      <c r="U188" s="52">
        <f t="shared" si="61"/>
        <v>0.99939082701909576</v>
      </c>
      <c r="V188" s="52">
        <f t="shared" si="62"/>
        <v>6.9756473744125524E-2</v>
      </c>
      <c r="W188" s="52">
        <f t="shared" si="55"/>
        <v>3.489949670250108E-2</v>
      </c>
      <c r="X188" s="52">
        <f t="shared" si="56"/>
        <v>0</v>
      </c>
      <c r="Y188" s="15">
        <f t="shared" si="45"/>
        <v>0</v>
      </c>
      <c r="Z188" s="52">
        <f t="shared" si="46"/>
        <v>0</v>
      </c>
      <c r="AA188" s="52">
        <f t="shared" si="47"/>
        <v>0</v>
      </c>
      <c r="AB188" s="15" t="e">
        <f t="shared" si="48"/>
        <v>#DIV/0!</v>
      </c>
      <c r="AC188" s="15" t="e">
        <f t="shared" si="57"/>
        <v>#DIV/0!</v>
      </c>
      <c r="AD188" s="15" t="e">
        <f t="shared" si="49"/>
        <v>#DIV/0!</v>
      </c>
      <c r="AE188" s="15" t="e">
        <f t="shared" si="50"/>
        <v>#DIV/0!</v>
      </c>
      <c r="AF188" s="15" t="e">
        <f t="shared" si="51"/>
        <v>#DIV/0!</v>
      </c>
      <c r="AG188" s="15" t="e">
        <f t="shared" si="52"/>
        <v>#DIV/0!</v>
      </c>
      <c r="AH188" s="53" t="e">
        <f t="shared" si="53"/>
        <v>#DIV/0!</v>
      </c>
      <c r="AI188" s="102" t="e">
        <f t="shared" si="58"/>
        <v>#DIV/0!</v>
      </c>
      <c r="AJ188" s="15"/>
      <c r="AK188" s="15" t="e">
        <f t="shared" si="63"/>
        <v>#DIV/0!</v>
      </c>
      <c r="AL188" s="15" t="e">
        <f t="shared" si="64"/>
        <v>#DIV/0!</v>
      </c>
      <c r="AM188" s="15">
        <f t="shared" si="59"/>
        <v>0</v>
      </c>
      <c r="AN188" s="15" t="e">
        <f t="shared" si="60"/>
        <v>#DIV/0!</v>
      </c>
    </row>
    <row r="189" spans="18:40" ht="13.8" x14ac:dyDescent="0.3">
      <c r="R189" s="51">
        <v>88.5</v>
      </c>
      <c r="S189" s="38">
        <f t="shared" si="54"/>
        <v>177</v>
      </c>
      <c r="T189" s="52">
        <f t="shared" si="44"/>
        <v>3.0892327760299634</v>
      </c>
      <c r="U189" s="52">
        <f t="shared" si="61"/>
        <v>0.99965732497555726</v>
      </c>
      <c r="V189" s="52">
        <f t="shared" si="62"/>
        <v>5.2335956242943807E-2</v>
      </c>
      <c r="W189" s="52">
        <f t="shared" si="55"/>
        <v>2.6176948307873139E-2</v>
      </c>
      <c r="X189" s="52">
        <f t="shared" si="56"/>
        <v>0</v>
      </c>
      <c r="Y189" s="15">
        <f t="shared" si="45"/>
        <v>0</v>
      </c>
      <c r="Z189" s="52">
        <f t="shared" si="46"/>
        <v>0</v>
      </c>
      <c r="AA189" s="52">
        <f t="shared" si="47"/>
        <v>0</v>
      </c>
      <c r="AB189" s="15" t="e">
        <f t="shared" si="48"/>
        <v>#DIV/0!</v>
      </c>
      <c r="AC189" s="15" t="e">
        <f t="shared" si="57"/>
        <v>#DIV/0!</v>
      </c>
      <c r="AD189" s="15" t="e">
        <f t="shared" si="49"/>
        <v>#DIV/0!</v>
      </c>
      <c r="AE189" s="15" t="e">
        <f t="shared" si="50"/>
        <v>#DIV/0!</v>
      </c>
      <c r="AF189" s="15" t="e">
        <f t="shared" si="51"/>
        <v>#DIV/0!</v>
      </c>
      <c r="AG189" s="15" t="e">
        <f t="shared" si="52"/>
        <v>#DIV/0!</v>
      </c>
      <c r="AH189" s="53" t="e">
        <f t="shared" si="53"/>
        <v>#DIV/0!</v>
      </c>
      <c r="AI189" s="102" t="e">
        <f t="shared" si="58"/>
        <v>#DIV/0!</v>
      </c>
      <c r="AJ189" s="15"/>
      <c r="AK189" s="15" t="e">
        <f t="shared" si="63"/>
        <v>#DIV/0!</v>
      </c>
      <c r="AL189" s="15" t="e">
        <f t="shared" si="64"/>
        <v>#DIV/0!</v>
      </c>
      <c r="AM189" s="15">
        <f t="shared" si="59"/>
        <v>0</v>
      </c>
      <c r="AN189" s="15" t="e">
        <f t="shared" si="60"/>
        <v>#DIV/0!</v>
      </c>
    </row>
    <row r="190" spans="18:40" ht="13.8" x14ac:dyDescent="0.3">
      <c r="R190" s="51">
        <v>89</v>
      </c>
      <c r="S190" s="38">
        <f t="shared" si="54"/>
        <v>178</v>
      </c>
      <c r="T190" s="52">
        <f t="shared" si="44"/>
        <v>3.1066860685499065</v>
      </c>
      <c r="U190" s="52">
        <f t="shared" si="61"/>
        <v>0.99984769515639127</v>
      </c>
      <c r="V190" s="52">
        <f t="shared" si="62"/>
        <v>3.4899496702501143E-2</v>
      </c>
      <c r="W190" s="52">
        <f t="shared" si="55"/>
        <v>1.7452406437283598E-2</v>
      </c>
      <c r="X190" s="52">
        <f t="shared" si="56"/>
        <v>0</v>
      </c>
      <c r="Y190" s="15">
        <f t="shared" si="45"/>
        <v>0</v>
      </c>
      <c r="Z190" s="52">
        <f t="shared" si="46"/>
        <v>0</v>
      </c>
      <c r="AA190" s="52">
        <f t="shared" si="47"/>
        <v>0</v>
      </c>
      <c r="AB190" s="15" t="e">
        <f t="shared" si="48"/>
        <v>#DIV/0!</v>
      </c>
      <c r="AC190" s="15" t="e">
        <f t="shared" si="57"/>
        <v>#DIV/0!</v>
      </c>
      <c r="AD190" s="15" t="e">
        <f t="shared" si="49"/>
        <v>#DIV/0!</v>
      </c>
      <c r="AE190" s="15" t="e">
        <f t="shared" si="50"/>
        <v>#DIV/0!</v>
      </c>
      <c r="AF190" s="15" t="e">
        <f t="shared" si="51"/>
        <v>#DIV/0!</v>
      </c>
      <c r="AG190" s="15" t="e">
        <f t="shared" si="52"/>
        <v>#DIV/0!</v>
      </c>
      <c r="AH190" s="53" t="e">
        <f t="shared" si="53"/>
        <v>#DIV/0!</v>
      </c>
      <c r="AI190" s="102" t="e">
        <f t="shared" si="58"/>
        <v>#DIV/0!</v>
      </c>
      <c r="AJ190" s="15"/>
      <c r="AK190" s="15" t="e">
        <f t="shared" si="63"/>
        <v>#DIV/0!</v>
      </c>
      <c r="AL190" s="15" t="e">
        <f t="shared" si="64"/>
        <v>#DIV/0!</v>
      </c>
      <c r="AM190" s="15">
        <f t="shared" si="59"/>
        <v>0</v>
      </c>
      <c r="AN190" s="15" t="e">
        <f t="shared" si="60"/>
        <v>#DIV/0!</v>
      </c>
    </row>
    <row r="191" spans="18:40" ht="13.8" x14ac:dyDescent="0.3">
      <c r="R191" s="51">
        <v>89.5</v>
      </c>
      <c r="S191" s="38">
        <f t="shared" si="54"/>
        <v>179</v>
      </c>
      <c r="T191" s="52">
        <f t="shared" si="44"/>
        <v>3.12413936106985</v>
      </c>
      <c r="U191" s="52">
        <f t="shared" si="61"/>
        <v>0.99996192306417131</v>
      </c>
      <c r="V191" s="52">
        <f t="shared" si="62"/>
        <v>1.7452406437283439E-2</v>
      </c>
      <c r="W191" s="52">
        <f t="shared" si="55"/>
        <v>8.7265354983738965E-3</v>
      </c>
      <c r="X191" s="52">
        <f t="shared" si="56"/>
        <v>0</v>
      </c>
      <c r="Y191" s="15">
        <f t="shared" si="45"/>
        <v>0</v>
      </c>
      <c r="Z191" s="52">
        <f t="shared" si="46"/>
        <v>0</v>
      </c>
      <c r="AA191" s="52">
        <f t="shared" si="47"/>
        <v>0</v>
      </c>
      <c r="AB191" s="15" t="e">
        <f t="shared" si="48"/>
        <v>#DIV/0!</v>
      </c>
      <c r="AC191" s="15" t="e">
        <f t="shared" si="57"/>
        <v>#DIV/0!</v>
      </c>
      <c r="AD191" s="15" t="e">
        <f t="shared" si="49"/>
        <v>#DIV/0!</v>
      </c>
      <c r="AE191" s="15" t="e">
        <f t="shared" si="50"/>
        <v>#DIV/0!</v>
      </c>
      <c r="AF191" s="15" t="e">
        <f t="shared" si="51"/>
        <v>#DIV/0!</v>
      </c>
      <c r="AG191" s="15" t="e">
        <f t="shared" si="52"/>
        <v>#DIV/0!</v>
      </c>
      <c r="AH191" s="53" t="e">
        <f t="shared" si="53"/>
        <v>#DIV/0!</v>
      </c>
      <c r="AI191" s="102" t="e">
        <f t="shared" si="58"/>
        <v>#DIV/0!</v>
      </c>
      <c r="AJ191" s="15"/>
      <c r="AK191" s="15" t="e">
        <f t="shared" si="63"/>
        <v>#DIV/0!</v>
      </c>
      <c r="AL191" s="15" t="e">
        <f t="shared" si="64"/>
        <v>#DIV/0!</v>
      </c>
      <c r="AM191" s="15">
        <f t="shared" si="59"/>
        <v>0</v>
      </c>
      <c r="AN191" s="15" t="e">
        <f t="shared" si="60"/>
        <v>#DIV/0!</v>
      </c>
    </row>
    <row r="192" spans="18:40" ht="13.8" x14ac:dyDescent="0.3">
      <c r="R192" s="51">
        <v>90</v>
      </c>
      <c r="S192" s="38">
        <f t="shared" si="54"/>
        <v>180</v>
      </c>
      <c r="T192" s="52">
        <f t="shared" si="44"/>
        <v>3.1415926535897931</v>
      </c>
      <c r="U192" s="52">
        <f t="shared" si="61"/>
        <v>1</v>
      </c>
      <c r="V192" s="52">
        <f t="shared" si="62"/>
        <v>1.22514845490862E-16</v>
      </c>
      <c r="W192" s="52">
        <f t="shared" si="55"/>
        <v>6.1257422745431001E-17</v>
      </c>
      <c r="X192" s="52">
        <f t="shared" si="56"/>
        <v>0</v>
      </c>
      <c r="Y192" s="15">
        <f t="shared" si="45"/>
        <v>0</v>
      </c>
      <c r="Z192" s="52">
        <f t="shared" si="46"/>
        <v>0</v>
      </c>
      <c r="AA192" s="52">
        <f t="shared" si="47"/>
        <v>0</v>
      </c>
      <c r="AB192" s="15" t="e">
        <f t="shared" si="48"/>
        <v>#DIV/0!</v>
      </c>
      <c r="AC192" s="15" t="e">
        <f t="shared" si="57"/>
        <v>#DIV/0!</v>
      </c>
      <c r="AD192" s="15" t="e">
        <f t="shared" si="49"/>
        <v>#DIV/0!</v>
      </c>
      <c r="AE192" s="15" t="e">
        <f t="shared" si="50"/>
        <v>#DIV/0!</v>
      </c>
      <c r="AF192" s="15" t="e">
        <f t="shared" si="51"/>
        <v>#DIV/0!</v>
      </c>
      <c r="AG192" s="15" t="e">
        <f t="shared" si="52"/>
        <v>#DIV/0!</v>
      </c>
      <c r="AH192" s="53" t="e">
        <f t="shared" si="53"/>
        <v>#DIV/0!</v>
      </c>
      <c r="AI192" s="102" t="e">
        <f t="shared" si="58"/>
        <v>#DIV/0!</v>
      </c>
      <c r="AJ192" s="15"/>
      <c r="AK192" s="15" t="e">
        <f t="shared" si="63"/>
        <v>#DIV/0!</v>
      </c>
      <c r="AL192" s="15" t="e">
        <f t="shared" si="64"/>
        <v>#DIV/0!</v>
      </c>
      <c r="AM192" s="15">
        <f t="shared" si="59"/>
        <v>0</v>
      </c>
      <c r="AN192" s="15" t="e">
        <f t="shared" si="60"/>
        <v>#DIV/0!</v>
      </c>
    </row>
    <row r="193" spans="18:40" ht="13.8" x14ac:dyDescent="0.3">
      <c r="R193" s="51">
        <v>90.5</v>
      </c>
      <c r="S193" s="38">
        <f t="shared" si="54"/>
        <v>181</v>
      </c>
      <c r="T193" s="52">
        <f t="shared" si="44"/>
        <v>3.1590459461097367</v>
      </c>
      <c r="U193" s="52">
        <f t="shared" si="61"/>
        <v>0.99996192306417131</v>
      </c>
      <c r="V193" s="52">
        <f t="shared" si="62"/>
        <v>-1.7452406437283637E-2</v>
      </c>
      <c r="W193" s="52">
        <f t="shared" si="55"/>
        <v>-8.7265354983739971E-3</v>
      </c>
      <c r="X193" s="52">
        <f t="shared" si="56"/>
        <v>0</v>
      </c>
      <c r="Y193" s="15">
        <f t="shared" si="45"/>
        <v>0</v>
      </c>
      <c r="Z193" s="52">
        <f t="shared" si="46"/>
        <v>0</v>
      </c>
      <c r="AA193" s="52">
        <f t="shared" si="47"/>
        <v>0</v>
      </c>
      <c r="AB193" s="15" t="e">
        <f t="shared" si="48"/>
        <v>#DIV/0!</v>
      </c>
      <c r="AC193" s="15" t="e">
        <f t="shared" si="57"/>
        <v>#DIV/0!</v>
      </c>
      <c r="AD193" s="15" t="e">
        <f t="shared" si="49"/>
        <v>#DIV/0!</v>
      </c>
      <c r="AE193" s="15" t="e">
        <f t="shared" si="50"/>
        <v>#DIV/0!</v>
      </c>
      <c r="AF193" s="15" t="e">
        <f t="shared" si="51"/>
        <v>#DIV/0!</v>
      </c>
      <c r="AG193" s="15" t="e">
        <f t="shared" si="52"/>
        <v>#DIV/0!</v>
      </c>
      <c r="AH193" s="53" t="e">
        <f t="shared" si="53"/>
        <v>#DIV/0!</v>
      </c>
      <c r="AI193" s="102" t="e">
        <f t="shared" si="58"/>
        <v>#DIV/0!</v>
      </c>
      <c r="AJ193" s="15"/>
      <c r="AK193" s="15" t="e">
        <f t="shared" si="63"/>
        <v>#DIV/0!</v>
      </c>
      <c r="AL193" s="15" t="e">
        <f t="shared" si="64"/>
        <v>#DIV/0!</v>
      </c>
      <c r="AM193" s="15">
        <f t="shared" si="59"/>
        <v>0</v>
      </c>
      <c r="AN193" s="15" t="e">
        <f t="shared" si="60"/>
        <v>#DIV/0!</v>
      </c>
    </row>
    <row r="194" spans="18:40" ht="13.8" x14ac:dyDescent="0.3">
      <c r="R194" s="51">
        <v>91</v>
      </c>
      <c r="S194" s="38">
        <f t="shared" si="54"/>
        <v>182</v>
      </c>
      <c r="T194" s="52">
        <f t="shared" si="44"/>
        <v>3.1764992386296798</v>
      </c>
      <c r="U194" s="52">
        <f t="shared" si="61"/>
        <v>0.99984769515639127</v>
      </c>
      <c r="V194" s="52">
        <f t="shared" si="62"/>
        <v>-3.48994967025009E-2</v>
      </c>
      <c r="W194" s="52">
        <f t="shared" si="55"/>
        <v>-1.7452406437283477E-2</v>
      </c>
      <c r="X194" s="52">
        <f t="shared" si="56"/>
        <v>0</v>
      </c>
      <c r="Y194" s="15">
        <f t="shared" si="45"/>
        <v>0</v>
      </c>
      <c r="Z194" s="52">
        <f t="shared" si="46"/>
        <v>0</v>
      </c>
      <c r="AA194" s="52">
        <f t="shared" si="47"/>
        <v>0</v>
      </c>
      <c r="AB194" s="15" t="e">
        <f t="shared" si="48"/>
        <v>#DIV/0!</v>
      </c>
      <c r="AC194" s="15" t="e">
        <f t="shared" si="57"/>
        <v>#DIV/0!</v>
      </c>
      <c r="AD194" s="15" t="e">
        <f t="shared" si="49"/>
        <v>#DIV/0!</v>
      </c>
      <c r="AE194" s="15" t="e">
        <f t="shared" si="50"/>
        <v>#DIV/0!</v>
      </c>
      <c r="AF194" s="15" t="e">
        <f t="shared" si="51"/>
        <v>#DIV/0!</v>
      </c>
      <c r="AG194" s="15" t="e">
        <f t="shared" si="52"/>
        <v>#DIV/0!</v>
      </c>
      <c r="AH194" s="53" t="e">
        <f t="shared" si="53"/>
        <v>#DIV/0!</v>
      </c>
      <c r="AI194" s="102" t="e">
        <f t="shared" si="58"/>
        <v>#DIV/0!</v>
      </c>
      <c r="AJ194" s="15"/>
      <c r="AK194" s="15" t="e">
        <f t="shared" si="63"/>
        <v>#DIV/0!</v>
      </c>
      <c r="AL194" s="15" t="e">
        <f t="shared" si="64"/>
        <v>#DIV/0!</v>
      </c>
      <c r="AM194" s="15">
        <f t="shared" si="59"/>
        <v>0</v>
      </c>
      <c r="AN194" s="15" t="e">
        <f t="shared" si="60"/>
        <v>#DIV/0!</v>
      </c>
    </row>
    <row r="195" spans="18:40" ht="13.8" x14ac:dyDescent="0.3">
      <c r="R195" s="51">
        <v>91.5</v>
      </c>
      <c r="S195" s="38">
        <f t="shared" si="54"/>
        <v>183</v>
      </c>
      <c r="T195" s="52">
        <f t="shared" si="44"/>
        <v>3.1939525311496229</v>
      </c>
      <c r="U195" s="52">
        <f t="shared" si="61"/>
        <v>0.99965732497555726</v>
      </c>
      <c r="V195" s="52">
        <f t="shared" si="62"/>
        <v>-5.2335956242943557E-2</v>
      </c>
      <c r="W195" s="52">
        <f t="shared" si="55"/>
        <v>-2.6176948307873017E-2</v>
      </c>
      <c r="X195" s="52">
        <f t="shared" si="56"/>
        <v>0</v>
      </c>
      <c r="Y195" s="15">
        <f t="shared" si="45"/>
        <v>0</v>
      </c>
      <c r="Z195" s="52">
        <f t="shared" si="46"/>
        <v>0</v>
      </c>
      <c r="AA195" s="52">
        <f t="shared" si="47"/>
        <v>0</v>
      </c>
      <c r="AB195" s="15" t="e">
        <f t="shared" si="48"/>
        <v>#DIV/0!</v>
      </c>
      <c r="AC195" s="15" t="e">
        <f t="shared" si="57"/>
        <v>#DIV/0!</v>
      </c>
      <c r="AD195" s="15" t="e">
        <f t="shared" si="49"/>
        <v>#DIV/0!</v>
      </c>
      <c r="AE195" s="15" t="e">
        <f t="shared" si="50"/>
        <v>#DIV/0!</v>
      </c>
      <c r="AF195" s="15" t="e">
        <f t="shared" si="51"/>
        <v>#DIV/0!</v>
      </c>
      <c r="AG195" s="15" t="e">
        <f t="shared" si="52"/>
        <v>#DIV/0!</v>
      </c>
      <c r="AH195" s="53" t="e">
        <f t="shared" si="53"/>
        <v>#DIV/0!</v>
      </c>
      <c r="AI195" s="102" t="e">
        <f t="shared" si="58"/>
        <v>#DIV/0!</v>
      </c>
      <c r="AJ195" s="15"/>
      <c r="AK195" s="15" t="e">
        <f t="shared" si="63"/>
        <v>#DIV/0!</v>
      </c>
      <c r="AL195" s="15" t="e">
        <f t="shared" si="64"/>
        <v>#DIV/0!</v>
      </c>
      <c r="AM195" s="15">
        <f t="shared" si="59"/>
        <v>0</v>
      </c>
      <c r="AN195" s="15" t="e">
        <f t="shared" si="60"/>
        <v>#DIV/0!</v>
      </c>
    </row>
    <row r="196" spans="18:40" ht="13.8" x14ac:dyDescent="0.3">
      <c r="R196" s="51">
        <v>92</v>
      </c>
      <c r="S196" s="38">
        <f t="shared" si="54"/>
        <v>184</v>
      </c>
      <c r="T196" s="52">
        <f t="shared" si="44"/>
        <v>3.2114058236695664</v>
      </c>
      <c r="U196" s="52">
        <f t="shared" si="61"/>
        <v>0.99939082701909576</v>
      </c>
      <c r="V196" s="52">
        <f t="shared" si="62"/>
        <v>-6.9756473744125275E-2</v>
      </c>
      <c r="W196" s="52">
        <f t="shared" si="55"/>
        <v>-3.4899496702500955E-2</v>
      </c>
      <c r="X196" s="52">
        <f t="shared" si="56"/>
        <v>0</v>
      </c>
      <c r="Y196" s="15">
        <f t="shared" si="45"/>
        <v>0</v>
      </c>
      <c r="Z196" s="52">
        <f t="shared" si="46"/>
        <v>0</v>
      </c>
      <c r="AA196" s="52">
        <f t="shared" si="47"/>
        <v>0</v>
      </c>
      <c r="AB196" s="15" t="e">
        <f t="shared" si="48"/>
        <v>#DIV/0!</v>
      </c>
      <c r="AC196" s="15" t="e">
        <f t="shared" si="57"/>
        <v>#DIV/0!</v>
      </c>
      <c r="AD196" s="15" t="e">
        <f t="shared" si="49"/>
        <v>#DIV/0!</v>
      </c>
      <c r="AE196" s="15" t="e">
        <f t="shared" si="50"/>
        <v>#DIV/0!</v>
      </c>
      <c r="AF196" s="15" t="e">
        <f t="shared" si="51"/>
        <v>#DIV/0!</v>
      </c>
      <c r="AG196" s="15" t="e">
        <f t="shared" si="52"/>
        <v>#DIV/0!</v>
      </c>
      <c r="AH196" s="53" t="e">
        <f t="shared" si="53"/>
        <v>#DIV/0!</v>
      </c>
      <c r="AI196" s="102" t="e">
        <f t="shared" si="58"/>
        <v>#DIV/0!</v>
      </c>
      <c r="AJ196" s="15"/>
      <c r="AK196" s="15" t="e">
        <f t="shared" si="63"/>
        <v>#DIV/0!</v>
      </c>
      <c r="AL196" s="15" t="e">
        <f t="shared" si="64"/>
        <v>#DIV/0!</v>
      </c>
      <c r="AM196" s="15">
        <f t="shared" si="59"/>
        <v>0</v>
      </c>
      <c r="AN196" s="15" t="e">
        <f t="shared" si="60"/>
        <v>#DIV/0!</v>
      </c>
    </row>
    <row r="197" spans="18:40" ht="13.8" x14ac:dyDescent="0.3">
      <c r="R197" s="51">
        <v>92.5</v>
      </c>
      <c r="S197" s="38">
        <f t="shared" si="54"/>
        <v>185</v>
      </c>
      <c r="T197" s="52">
        <f t="shared" si="44"/>
        <v>3.2288591161895095</v>
      </c>
      <c r="U197" s="52">
        <f t="shared" si="61"/>
        <v>0.9990482215818578</v>
      </c>
      <c r="V197" s="52">
        <f t="shared" si="62"/>
        <v>-8.7155742747657944E-2</v>
      </c>
      <c r="W197" s="52">
        <f t="shared" si="55"/>
        <v>-4.3619387365335889E-2</v>
      </c>
      <c r="X197" s="52">
        <f t="shared" si="56"/>
        <v>0</v>
      </c>
      <c r="Y197" s="15">
        <f t="shared" si="45"/>
        <v>0</v>
      </c>
      <c r="Z197" s="52">
        <f t="shared" si="46"/>
        <v>0</v>
      </c>
      <c r="AA197" s="52">
        <f t="shared" si="47"/>
        <v>0</v>
      </c>
      <c r="AB197" s="15" t="e">
        <f t="shared" si="48"/>
        <v>#DIV/0!</v>
      </c>
      <c r="AC197" s="15" t="e">
        <f t="shared" si="57"/>
        <v>#DIV/0!</v>
      </c>
      <c r="AD197" s="15" t="e">
        <f t="shared" si="49"/>
        <v>#DIV/0!</v>
      </c>
      <c r="AE197" s="15" t="e">
        <f t="shared" si="50"/>
        <v>#DIV/0!</v>
      </c>
      <c r="AF197" s="15" t="e">
        <f t="shared" si="51"/>
        <v>#DIV/0!</v>
      </c>
      <c r="AG197" s="15" t="e">
        <f t="shared" si="52"/>
        <v>#DIV/0!</v>
      </c>
      <c r="AH197" s="53" t="e">
        <f t="shared" si="53"/>
        <v>#DIV/0!</v>
      </c>
      <c r="AI197" s="102" t="e">
        <f t="shared" si="58"/>
        <v>#DIV/0!</v>
      </c>
      <c r="AJ197" s="15"/>
      <c r="AK197" s="15" t="e">
        <f t="shared" si="63"/>
        <v>#DIV/0!</v>
      </c>
      <c r="AL197" s="15" t="e">
        <f t="shared" si="64"/>
        <v>#DIV/0!</v>
      </c>
      <c r="AM197" s="15">
        <f t="shared" si="59"/>
        <v>0</v>
      </c>
      <c r="AN197" s="15" t="e">
        <f t="shared" si="60"/>
        <v>#DIV/0!</v>
      </c>
    </row>
    <row r="198" spans="18:40" ht="13.8" x14ac:dyDescent="0.3">
      <c r="R198" s="51">
        <v>93</v>
      </c>
      <c r="S198" s="38">
        <f t="shared" si="54"/>
        <v>186</v>
      </c>
      <c r="T198" s="52">
        <f t="shared" si="44"/>
        <v>3.246312408709453</v>
      </c>
      <c r="U198" s="52">
        <f t="shared" si="61"/>
        <v>0.99862953475457383</v>
      </c>
      <c r="V198" s="52">
        <f t="shared" si="62"/>
        <v>-0.1045284632676535</v>
      </c>
      <c r="W198" s="52">
        <f t="shared" si="55"/>
        <v>-5.2335956242943842E-2</v>
      </c>
      <c r="X198" s="52">
        <f t="shared" si="56"/>
        <v>0</v>
      </c>
      <c r="Y198" s="15">
        <f t="shared" si="45"/>
        <v>0</v>
      </c>
      <c r="Z198" s="52">
        <f t="shared" si="46"/>
        <v>0</v>
      </c>
      <c r="AA198" s="52">
        <f t="shared" si="47"/>
        <v>0</v>
      </c>
      <c r="AB198" s="15" t="e">
        <f t="shared" si="48"/>
        <v>#DIV/0!</v>
      </c>
      <c r="AC198" s="15" t="e">
        <f t="shared" si="57"/>
        <v>#DIV/0!</v>
      </c>
      <c r="AD198" s="15" t="e">
        <f t="shared" si="49"/>
        <v>#DIV/0!</v>
      </c>
      <c r="AE198" s="15" t="e">
        <f t="shared" si="50"/>
        <v>#DIV/0!</v>
      </c>
      <c r="AF198" s="15" t="e">
        <f t="shared" si="51"/>
        <v>#DIV/0!</v>
      </c>
      <c r="AG198" s="15" t="e">
        <f t="shared" si="52"/>
        <v>#DIV/0!</v>
      </c>
      <c r="AH198" s="53" t="e">
        <f t="shared" si="53"/>
        <v>#DIV/0!</v>
      </c>
      <c r="AI198" s="102" t="e">
        <f t="shared" si="58"/>
        <v>#DIV/0!</v>
      </c>
      <c r="AJ198" s="15"/>
      <c r="AK198" s="15" t="e">
        <f t="shared" si="63"/>
        <v>#DIV/0!</v>
      </c>
      <c r="AL198" s="15" t="e">
        <f t="shared" si="64"/>
        <v>#DIV/0!</v>
      </c>
      <c r="AM198" s="15">
        <f t="shared" si="59"/>
        <v>0</v>
      </c>
      <c r="AN198" s="15" t="e">
        <f t="shared" si="60"/>
        <v>#DIV/0!</v>
      </c>
    </row>
    <row r="199" spans="18:40" ht="13.8" x14ac:dyDescent="0.3">
      <c r="R199" s="51">
        <v>93.5</v>
      </c>
      <c r="S199" s="38">
        <f t="shared" si="54"/>
        <v>187</v>
      </c>
      <c r="T199" s="52">
        <f t="shared" si="44"/>
        <v>3.2637657012293961</v>
      </c>
      <c r="U199" s="52">
        <f t="shared" si="61"/>
        <v>0.99813479842186703</v>
      </c>
      <c r="V199" s="52">
        <f t="shared" si="62"/>
        <v>-0.12186934340514731</v>
      </c>
      <c r="W199" s="52">
        <f t="shared" si="55"/>
        <v>-6.1048539534856783E-2</v>
      </c>
      <c r="X199" s="52">
        <f t="shared" si="56"/>
        <v>0</v>
      </c>
      <c r="Y199" s="15">
        <f t="shared" si="45"/>
        <v>0</v>
      </c>
      <c r="Z199" s="52">
        <f t="shared" si="46"/>
        <v>0</v>
      </c>
      <c r="AA199" s="52">
        <f t="shared" si="47"/>
        <v>0</v>
      </c>
      <c r="AB199" s="15" t="e">
        <f t="shared" si="48"/>
        <v>#DIV/0!</v>
      </c>
      <c r="AC199" s="15" t="e">
        <f t="shared" si="57"/>
        <v>#DIV/0!</v>
      </c>
      <c r="AD199" s="15" t="e">
        <f t="shared" si="49"/>
        <v>#DIV/0!</v>
      </c>
      <c r="AE199" s="15" t="e">
        <f t="shared" si="50"/>
        <v>#DIV/0!</v>
      </c>
      <c r="AF199" s="15" t="e">
        <f t="shared" si="51"/>
        <v>#DIV/0!</v>
      </c>
      <c r="AG199" s="15" t="e">
        <f t="shared" si="52"/>
        <v>#DIV/0!</v>
      </c>
      <c r="AH199" s="53" t="e">
        <f t="shared" si="53"/>
        <v>#DIV/0!</v>
      </c>
      <c r="AI199" s="102" t="e">
        <f t="shared" si="58"/>
        <v>#DIV/0!</v>
      </c>
      <c r="AJ199" s="15"/>
      <c r="AK199" s="15" t="e">
        <f t="shared" si="63"/>
        <v>#DIV/0!</v>
      </c>
      <c r="AL199" s="15" t="e">
        <f t="shared" si="64"/>
        <v>#DIV/0!</v>
      </c>
      <c r="AM199" s="15">
        <f t="shared" si="59"/>
        <v>0</v>
      </c>
      <c r="AN199" s="15" t="e">
        <f t="shared" si="60"/>
        <v>#DIV/0!</v>
      </c>
    </row>
    <row r="200" spans="18:40" ht="13.8" x14ac:dyDescent="0.3">
      <c r="R200" s="51">
        <v>94</v>
      </c>
      <c r="S200" s="38">
        <f t="shared" si="54"/>
        <v>188</v>
      </c>
      <c r="T200" s="52">
        <f t="shared" si="44"/>
        <v>3.2812189937493397</v>
      </c>
      <c r="U200" s="52">
        <f t="shared" si="61"/>
        <v>0.9975640502598242</v>
      </c>
      <c r="V200" s="52">
        <f t="shared" si="62"/>
        <v>-0.13917310096006552</v>
      </c>
      <c r="W200" s="52">
        <f t="shared" si="55"/>
        <v>-6.975647374412533E-2</v>
      </c>
      <c r="X200" s="52">
        <f t="shared" si="56"/>
        <v>0</v>
      </c>
      <c r="Y200" s="15">
        <f t="shared" si="45"/>
        <v>0</v>
      </c>
      <c r="Z200" s="52">
        <f t="shared" si="46"/>
        <v>0</v>
      </c>
      <c r="AA200" s="52">
        <f t="shared" si="47"/>
        <v>0</v>
      </c>
      <c r="AB200" s="15" t="e">
        <f t="shared" si="48"/>
        <v>#DIV/0!</v>
      </c>
      <c r="AC200" s="15" t="e">
        <f t="shared" si="57"/>
        <v>#DIV/0!</v>
      </c>
      <c r="AD200" s="15" t="e">
        <f t="shared" si="49"/>
        <v>#DIV/0!</v>
      </c>
      <c r="AE200" s="15" t="e">
        <f t="shared" si="50"/>
        <v>#DIV/0!</v>
      </c>
      <c r="AF200" s="15" t="e">
        <f t="shared" si="51"/>
        <v>#DIV/0!</v>
      </c>
      <c r="AG200" s="15" t="e">
        <f t="shared" si="52"/>
        <v>#DIV/0!</v>
      </c>
      <c r="AH200" s="53" t="e">
        <f t="shared" si="53"/>
        <v>#DIV/0!</v>
      </c>
      <c r="AI200" s="102" t="e">
        <f t="shared" si="58"/>
        <v>#DIV/0!</v>
      </c>
      <c r="AJ200" s="15"/>
      <c r="AK200" s="15" t="e">
        <f t="shared" si="63"/>
        <v>#DIV/0!</v>
      </c>
      <c r="AL200" s="15" t="e">
        <f t="shared" si="64"/>
        <v>#DIV/0!</v>
      </c>
      <c r="AM200" s="15">
        <f t="shared" si="59"/>
        <v>0</v>
      </c>
      <c r="AN200" s="15" t="e">
        <f t="shared" si="60"/>
        <v>#DIV/0!</v>
      </c>
    </row>
    <row r="201" spans="18:40" ht="13.8" x14ac:dyDescent="0.3">
      <c r="R201" s="51">
        <v>94.5</v>
      </c>
      <c r="S201" s="38">
        <f t="shared" si="54"/>
        <v>189</v>
      </c>
      <c r="T201" s="52">
        <f t="shared" si="44"/>
        <v>3.2986722862692828</v>
      </c>
      <c r="U201" s="52">
        <f t="shared" si="61"/>
        <v>0.99691733373312796</v>
      </c>
      <c r="V201" s="52">
        <f t="shared" si="62"/>
        <v>-0.15643446504023073</v>
      </c>
      <c r="W201" s="52">
        <f t="shared" si="55"/>
        <v>-7.8459095727844874E-2</v>
      </c>
      <c r="X201" s="52">
        <f t="shared" si="56"/>
        <v>0</v>
      </c>
      <c r="Y201" s="15">
        <f t="shared" si="45"/>
        <v>0</v>
      </c>
      <c r="Z201" s="52">
        <f t="shared" si="46"/>
        <v>0</v>
      </c>
      <c r="AA201" s="52">
        <f t="shared" si="47"/>
        <v>0</v>
      </c>
      <c r="AB201" s="15" t="e">
        <f t="shared" si="48"/>
        <v>#DIV/0!</v>
      </c>
      <c r="AC201" s="15" t="e">
        <f t="shared" si="57"/>
        <v>#DIV/0!</v>
      </c>
      <c r="AD201" s="15" t="e">
        <f t="shared" si="49"/>
        <v>#DIV/0!</v>
      </c>
      <c r="AE201" s="15" t="e">
        <f t="shared" si="50"/>
        <v>#DIV/0!</v>
      </c>
      <c r="AF201" s="15" t="e">
        <f t="shared" si="51"/>
        <v>#DIV/0!</v>
      </c>
      <c r="AG201" s="15" t="e">
        <f t="shared" si="52"/>
        <v>#DIV/0!</v>
      </c>
      <c r="AH201" s="53" t="e">
        <f t="shared" si="53"/>
        <v>#DIV/0!</v>
      </c>
      <c r="AI201" s="102" t="e">
        <f t="shared" si="58"/>
        <v>#DIV/0!</v>
      </c>
      <c r="AJ201" s="15"/>
      <c r="AK201" s="15" t="e">
        <f t="shared" si="63"/>
        <v>#DIV/0!</v>
      </c>
      <c r="AL201" s="15" t="e">
        <f t="shared" si="64"/>
        <v>#DIV/0!</v>
      </c>
      <c r="AM201" s="15">
        <f t="shared" si="59"/>
        <v>0</v>
      </c>
      <c r="AN201" s="15" t="e">
        <f t="shared" si="60"/>
        <v>#DIV/0!</v>
      </c>
    </row>
    <row r="202" spans="18:40" ht="13.8" x14ac:dyDescent="0.3">
      <c r="R202" s="51">
        <v>95</v>
      </c>
      <c r="S202" s="38">
        <f t="shared" si="54"/>
        <v>190</v>
      </c>
      <c r="T202" s="52">
        <f t="shared" si="44"/>
        <v>3.3161255787892263</v>
      </c>
      <c r="U202" s="52">
        <f t="shared" si="61"/>
        <v>0.99619469809174555</v>
      </c>
      <c r="V202" s="52">
        <f t="shared" si="62"/>
        <v>-0.17364817766693047</v>
      </c>
      <c r="W202" s="52">
        <f t="shared" si="55"/>
        <v>-8.7155742747658235E-2</v>
      </c>
      <c r="X202" s="52">
        <f t="shared" si="56"/>
        <v>0</v>
      </c>
      <c r="Y202" s="15">
        <f t="shared" si="45"/>
        <v>0</v>
      </c>
      <c r="Z202" s="52">
        <f t="shared" si="46"/>
        <v>0</v>
      </c>
      <c r="AA202" s="52">
        <f t="shared" si="47"/>
        <v>0</v>
      </c>
      <c r="AB202" s="15" t="e">
        <f t="shared" si="48"/>
        <v>#DIV/0!</v>
      </c>
      <c r="AC202" s="15" t="e">
        <f t="shared" si="57"/>
        <v>#DIV/0!</v>
      </c>
      <c r="AD202" s="15" t="e">
        <f t="shared" si="49"/>
        <v>#DIV/0!</v>
      </c>
      <c r="AE202" s="15" t="e">
        <f t="shared" si="50"/>
        <v>#DIV/0!</v>
      </c>
      <c r="AF202" s="15" t="e">
        <f t="shared" si="51"/>
        <v>#DIV/0!</v>
      </c>
      <c r="AG202" s="15" t="e">
        <f t="shared" si="52"/>
        <v>#DIV/0!</v>
      </c>
      <c r="AH202" s="53" t="e">
        <f t="shared" si="53"/>
        <v>#DIV/0!</v>
      </c>
      <c r="AI202" s="102" t="e">
        <f t="shared" si="58"/>
        <v>#DIV/0!</v>
      </c>
      <c r="AJ202" s="15"/>
      <c r="AK202" s="15" t="e">
        <f t="shared" si="63"/>
        <v>#DIV/0!</v>
      </c>
      <c r="AL202" s="15" t="e">
        <f t="shared" si="64"/>
        <v>#DIV/0!</v>
      </c>
      <c r="AM202" s="15">
        <f t="shared" si="59"/>
        <v>0</v>
      </c>
      <c r="AN202" s="15" t="e">
        <f t="shared" si="60"/>
        <v>#DIV/0!</v>
      </c>
    </row>
    <row r="203" spans="18:40" ht="13.8" x14ac:dyDescent="0.3">
      <c r="R203" s="51">
        <v>95.5</v>
      </c>
      <c r="S203" s="38">
        <f t="shared" si="54"/>
        <v>191</v>
      </c>
      <c r="T203" s="52">
        <f t="shared" si="44"/>
        <v>3.3335788713091694</v>
      </c>
      <c r="U203" s="52">
        <f t="shared" si="61"/>
        <v>0.99539619836717885</v>
      </c>
      <c r="V203" s="52">
        <f t="shared" si="62"/>
        <v>-0.19080899537654472</v>
      </c>
      <c r="W203" s="52">
        <f t="shared" si="55"/>
        <v>-9.5845752520223954E-2</v>
      </c>
      <c r="X203" s="52">
        <f t="shared" si="56"/>
        <v>0</v>
      </c>
      <c r="Y203" s="15">
        <f t="shared" si="45"/>
        <v>0</v>
      </c>
      <c r="Z203" s="52">
        <f t="shared" si="46"/>
        <v>0</v>
      </c>
      <c r="AA203" s="52">
        <f t="shared" si="47"/>
        <v>0</v>
      </c>
      <c r="AB203" s="15" t="e">
        <f t="shared" si="48"/>
        <v>#DIV/0!</v>
      </c>
      <c r="AC203" s="15" t="e">
        <f t="shared" si="57"/>
        <v>#DIV/0!</v>
      </c>
      <c r="AD203" s="15" t="e">
        <f t="shared" si="49"/>
        <v>#DIV/0!</v>
      </c>
      <c r="AE203" s="15" t="e">
        <f t="shared" si="50"/>
        <v>#DIV/0!</v>
      </c>
      <c r="AF203" s="15" t="e">
        <f t="shared" si="51"/>
        <v>#DIV/0!</v>
      </c>
      <c r="AG203" s="15" t="e">
        <f t="shared" si="52"/>
        <v>#DIV/0!</v>
      </c>
      <c r="AH203" s="53" t="e">
        <f t="shared" si="53"/>
        <v>#DIV/0!</v>
      </c>
      <c r="AI203" s="102" t="e">
        <f t="shared" si="58"/>
        <v>#DIV/0!</v>
      </c>
      <c r="AJ203" s="15"/>
      <c r="AK203" s="15" t="e">
        <f t="shared" si="63"/>
        <v>#DIV/0!</v>
      </c>
      <c r="AL203" s="15" t="e">
        <f t="shared" si="64"/>
        <v>#DIV/0!</v>
      </c>
      <c r="AM203" s="15">
        <f t="shared" si="59"/>
        <v>0</v>
      </c>
      <c r="AN203" s="15" t="e">
        <f t="shared" si="60"/>
        <v>#DIV/0!</v>
      </c>
    </row>
    <row r="204" spans="18:40" ht="13.8" x14ac:dyDescent="0.3">
      <c r="R204" s="51">
        <v>96</v>
      </c>
      <c r="S204" s="38">
        <f t="shared" si="54"/>
        <v>192</v>
      </c>
      <c r="T204" s="52">
        <f t="shared" ref="T204:T267" si="65">S204*(PI()/180)</f>
        <v>3.351032163829113</v>
      </c>
      <c r="U204" s="52">
        <f t="shared" si="61"/>
        <v>0.99452189536827329</v>
      </c>
      <c r="V204" s="52">
        <f t="shared" si="62"/>
        <v>-0.20791169081775951</v>
      </c>
      <c r="W204" s="52">
        <f t="shared" si="55"/>
        <v>-0.10452846326765355</v>
      </c>
      <c r="X204" s="52">
        <f t="shared" si="56"/>
        <v>0</v>
      </c>
      <c r="Y204" s="15">
        <f t="shared" ref="Y204:Y267" si="66">0.5*$W$4^2*(T204-V204)</f>
        <v>0</v>
      </c>
      <c r="Z204" s="52">
        <f t="shared" ref="Z204:Z267" si="67">$W$4*(1-W204)</f>
        <v>0</v>
      </c>
      <c r="AA204" s="52">
        <f t="shared" ref="AA204:AA267" si="68">$W$4*T204</f>
        <v>0</v>
      </c>
      <c r="AB204" s="15" t="e">
        <f t="shared" ref="AB204:AB267" si="69">Z204/$W$5</f>
        <v>#DIV/0!</v>
      </c>
      <c r="AC204" s="15" t="e">
        <f t="shared" si="57"/>
        <v>#DIV/0!</v>
      </c>
      <c r="AD204" s="15" t="e">
        <f t="shared" ref="AD204:AD267" si="70">(POWER(AC204,2/3)*Y204)/(POWER($W$8,2/3)*$W$6)</f>
        <v>#DIV/0!</v>
      </c>
      <c r="AE204" s="15" t="e">
        <f t="shared" ref="AE204:AE267" si="71">SQRT(AC204/$W$8)*POWER(AC204/$W$8,1/8)</f>
        <v>#DIV/0!</v>
      </c>
      <c r="AF204" s="15" t="e">
        <f t="shared" ref="AF204:AF267" si="72">AE204*(Y204/$W$6)</f>
        <v>#DIV/0!</v>
      </c>
      <c r="AG204" s="15" t="e">
        <f t="shared" ref="AG204:AG267" si="73">Y204*$D$5*SQRT($D$6)*POWER(AC204,2/3)</f>
        <v>#DIV/0!</v>
      </c>
      <c r="AH204" s="53" t="e">
        <f t="shared" ref="AH204:AH267" si="74">-2*SQRT(8*9.81)*SQRT(AC204*$D$6)*LOG10(($AA$4/(3.71*4*AC204))+((2.51*$AA$5)/(4*AC204*SQRT(8*9.81)*SQRT(AC204*$D$6))))*Y204</f>
        <v>#DIV/0!</v>
      </c>
      <c r="AI204" s="102" t="e">
        <f t="shared" si="58"/>
        <v>#DIV/0!</v>
      </c>
      <c r="AJ204" s="15"/>
      <c r="AK204" s="15" t="e">
        <f t="shared" si="63"/>
        <v>#DIV/0!</v>
      </c>
      <c r="AL204" s="15" t="e">
        <f t="shared" si="64"/>
        <v>#DIV/0!</v>
      </c>
      <c r="AM204" s="15">
        <f t="shared" si="59"/>
        <v>0</v>
      </c>
      <c r="AN204" s="15" t="e">
        <f t="shared" si="60"/>
        <v>#DIV/0!</v>
      </c>
    </row>
    <row r="205" spans="18:40" ht="13.8" x14ac:dyDescent="0.3">
      <c r="R205" s="51">
        <v>96.5</v>
      </c>
      <c r="S205" s="38">
        <f t="shared" ref="S205:S268" si="75">2*R205</f>
        <v>193</v>
      </c>
      <c r="T205" s="52">
        <f t="shared" si="65"/>
        <v>3.3684854563490561</v>
      </c>
      <c r="U205" s="52">
        <f t="shared" si="61"/>
        <v>0.99357185567658746</v>
      </c>
      <c r="V205" s="52">
        <f t="shared" si="62"/>
        <v>-0.22495105434386498</v>
      </c>
      <c r="W205" s="52">
        <f t="shared" ref="W205:W268" si="76">COS(T205/2)</f>
        <v>-0.11320321376790671</v>
      </c>
      <c r="X205" s="52">
        <f t="shared" ref="X205:X268" si="77">2*$W$4*U205</f>
        <v>0</v>
      </c>
      <c r="Y205" s="15">
        <f t="shared" si="66"/>
        <v>0</v>
      </c>
      <c r="Z205" s="52">
        <f t="shared" si="67"/>
        <v>0</v>
      </c>
      <c r="AA205" s="52">
        <f t="shared" si="68"/>
        <v>0</v>
      </c>
      <c r="AB205" s="15" t="e">
        <f t="shared" si="69"/>
        <v>#DIV/0!</v>
      </c>
      <c r="AC205" s="15" t="e">
        <f t="shared" ref="AC205:AC268" si="78">Y205/AA205</f>
        <v>#DIV/0!</v>
      </c>
      <c r="AD205" s="15" t="e">
        <f t="shared" si="70"/>
        <v>#DIV/0!</v>
      </c>
      <c r="AE205" s="15" t="e">
        <f t="shared" si="71"/>
        <v>#DIV/0!</v>
      </c>
      <c r="AF205" s="15" t="e">
        <f t="shared" si="72"/>
        <v>#DIV/0!</v>
      </c>
      <c r="AG205" s="15" t="e">
        <f t="shared" si="73"/>
        <v>#DIV/0!</v>
      </c>
      <c r="AH205" s="53" t="e">
        <f t="shared" si="74"/>
        <v>#DIV/0!</v>
      </c>
      <c r="AI205" s="102" t="e">
        <f t="shared" ref="AI205:AI268" si="79">SQRT((AH205^2*X205)/(9.81*Y205^3))</f>
        <v>#DIV/0!</v>
      </c>
      <c r="AJ205" s="15"/>
      <c r="AK205" s="15" t="e">
        <f t="shared" si="63"/>
        <v>#DIV/0!</v>
      </c>
      <c r="AL205" s="15" t="e">
        <f t="shared" si="64"/>
        <v>#DIV/0!</v>
      </c>
      <c r="AM205" s="15">
        <f t="shared" ref="AM205:AM268" si="80">Y205</f>
        <v>0</v>
      </c>
      <c r="AN205" s="15" t="e">
        <f t="shared" ref="AN205:AN268" si="81">AC205</f>
        <v>#DIV/0!</v>
      </c>
    </row>
    <row r="206" spans="18:40" ht="13.8" x14ac:dyDescent="0.3">
      <c r="R206" s="51">
        <v>97</v>
      </c>
      <c r="S206" s="38">
        <f t="shared" si="75"/>
        <v>194</v>
      </c>
      <c r="T206" s="52">
        <f t="shared" si="65"/>
        <v>3.3859387488689991</v>
      </c>
      <c r="U206" s="52">
        <f t="shared" si="61"/>
        <v>0.99254615164132209</v>
      </c>
      <c r="V206" s="52">
        <f t="shared" si="62"/>
        <v>-0.24192189559966751</v>
      </c>
      <c r="W206" s="52">
        <f t="shared" si="76"/>
        <v>-0.12186934340514737</v>
      </c>
      <c r="X206" s="52">
        <f t="shared" si="77"/>
        <v>0</v>
      </c>
      <c r="Y206" s="15">
        <f t="shared" si="66"/>
        <v>0</v>
      </c>
      <c r="Z206" s="52">
        <f t="shared" si="67"/>
        <v>0</v>
      </c>
      <c r="AA206" s="52">
        <f t="shared" si="68"/>
        <v>0</v>
      </c>
      <c r="AB206" s="15" t="e">
        <f t="shared" si="69"/>
        <v>#DIV/0!</v>
      </c>
      <c r="AC206" s="15" t="e">
        <f t="shared" si="78"/>
        <v>#DIV/0!</v>
      </c>
      <c r="AD206" s="15" t="e">
        <f t="shared" si="70"/>
        <v>#DIV/0!</v>
      </c>
      <c r="AE206" s="15" t="e">
        <f t="shared" si="71"/>
        <v>#DIV/0!</v>
      </c>
      <c r="AF206" s="15" t="e">
        <f t="shared" si="72"/>
        <v>#DIV/0!</v>
      </c>
      <c r="AG206" s="15" t="e">
        <f t="shared" si="73"/>
        <v>#DIV/0!</v>
      </c>
      <c r="AH206" s="53" t="e">
        <f t="shared" si="74"/>
        <v>#DIV/0!</v>
      </c>
      <c r="AI206" s="102" t="e">
        <f t="shared" si="79"/>
        <v>#DIV/0!</v>
      </c>
      <c r="AJ206" s="15"/>
      <c r="AK206" s="15" t="e">
        <f t="shared" si="63"/>
        <v>#DIV/0!</v>
      </c>
      <c r="AL206" s="15" t="e">
        <f t="shared" si="64"/>
        <v>#DIV/0!</v>
      </c>
      <c r="AM206" s="15">
        <f t="shared" si="80"/>
        <v>0</v>
      </c>
      <c r="AN206" s="15" t="e">
        <f t="shared" si="81"/>
        <v>#DIV/0!</v>
      </c>
    </row>
    <row r="207" spans="18:40" ht="13.8" x14ac:dyDescent="0.3">
      <c r="R207" s="51">
        <v>97.5</v>
      </c>
      <c r="S207" s="38">
        <f t="shared" si="75"/>
        <v>195</v>
      </c>
      <c r="T207" s="52">
        <f t="shared" si="65"/>
        <v>3.4033920413889427</v>
      </c>
      <c r="U207" s="52">
        <f t="shared" ref="U207:U270" si="82">SIN(T207/2)</f>
        <v>0.99144486137381038</v>
      </c>
      <c r="V207" s="52">
        <f t="shared" ref="V207:V270" si="83">SIN(T207)</f>
        <v>-0.25881904510252079</v>
      </c>
      <c r="W207" s="52">
        <f t="shared" si="76"/>
        <v>-0.1305261922200516</v>
      </c>
      <c r="X207" s="52">
        <f t="shared" si="77"/>
        <v>0</v>
      </c>
      <c r="Y207" s="15">
        <f t="shared" si="66"/>
        <v>0</v>
      </c>
      <c r="Z207" s="52">
        <f t="shared" si="67"/>
        <v>0</v>
      </c>
      <c r="AA207" s="52">
        <f t="shared" si="68"/>
        <v>0</v>
      </c>
      <c r="AB207" s="15" t="e">
        <f t="shared" si="69"/>
        <v>#DIV/0!</v>
      </c>
      <c r="AC207" s="15" t="e">
        <f t="shared" si="78"/>
        <v>#DIV/0!</v>
      </c>
      <c r="AD207" s="15" t="e">
        <f t="shared" si="70"/>
        <v>#DIV/0!</v>
      </c>
      <c r="AE207" s="15" t="e">
        <f t="shared" si="71"/>
        <v>#DIV/0!</v>
      </c>
      <c r="AF207" s="15" t="e">
        <f t="shared" si="72"/>
        <v>#DIV/0!</v>
      </c>
      <c r="AG207" s="15" t="e">
        <f t="shared" si="73"/>
        <v>#DIV/0!</v>
      </c>
      <c r="AH207" s="53" t="e">
        <f t="shared" si="74"/>
        <v>#DIV/0!</v>
      </c>
      <c r="AI207" s="102" t="e">
        <f t="shared" si="79"/>
        <v>#DIV/0!</v>
      </c>
      <c r="AJ207" s="15"/>
      <c r="AK207" s="15" t="e">
        <f t="shared" si="63"/>
        <v>#DIV/0!</v>
      </c>
      <c r="AL207" s="15" t="e">
        <f t="shared" si="64"/>
        <v>#DIV/0!</v>
      </c>
      <c r="AM207" s="15">
        <f t="shared" si="80"/>
        <v>0</v>
      </c>
      <c r="AN207" s="15" t="e">
        <f t="shared" si="81"/>
        <v>#DIV/0!</v>
      </c>
    </row>
    <row r="208" spans="18:40" ht="13.8" x14ac:dyDescent="0.3">
      <c r="R208" s="51">
        <v>98</v>
      </c>
      <c r="S208" s="38">
        <f t="shared" si="75"/>
        <v>196</v>
      </c>
      <c r="T208" s="52">
        <f t="shared" si="65"/>
        <v>3.4208453339088858</v>
      </c>
      <c r="U208" s="52">
        <f t="shared" si="82"/>
        <v>0.99026806874157036</v>
      </c>
      <c r="V208" s="52">
        <f t="shared" si="83"/>
        <v>-0.275637355816999</v>
      </c>
      <c r="W208" s="52">
        <f t="shared" si="76"/>
        <v>-0.13917310096006535</v>
      </c>
      <c r="X208" s="52">
        <f t="shared" si="77"/>
        <v>0</v>
      </c>
      <c r="Y208" s="15">
        <f t="shared" si="66"/>
        <v>0</v>
      </c>
      <c r="Z208" s="52">
        <f t="shared" si="67"/>
        <v>0</v>
      </c>
      <c r="AA208" s="52">
        <f t="shared" si="68"/>
        <v>0</v>
      </c>
      <c r="AB208" s="15" t="e">
        <f t="shared" si="69"/>
        <v>#DIV/0!</v>
      </c>
      <c r="AC208" s="15" t="e">
        <f t="shared" si="78"/>
        <v>#DIV/0!</v>
      </c>
      <c r="AD208" s="15" t="e">
        <f t="shared" si="70"/>
        <v>#DIV/0!</v>
      </c>
      <c r="AE208" s="15" t="e">
        <f t="shared" si="71"/>
        <v>#DIV/0!</v>
      </c>
      <c r="AF208" s="15" t="e">
        <f t="shared" si="72"/>
        <v>#DIV/0!</v>
      </c>
      <c r="AG208" s="15" t="e">
        <f t="shared" si="73"/>
        <v>#DIV/0!</v>
      </c>
      <c r="AH208" s="53" t="e">
        <f t="shared" si="74"/>
        <v>#DIV/0!</v>
      </c>
      <c r="AI208" s="102" t="e">
        <f t="shared" si="79"/>
        <v>#DIV/0!</v>
      </c>
      <c r="AJ208" s="15"/>
      <c r="AK208" s="15" t="e">
        <f t="shared" si="63"/>
        <v>#DIV/0!</v>
      </c>
      <c r="AL208" s="15" t="e">
        <f t="shared" si="64"/>
        <v>#DIV/0!</v>
      </c>
      <c r="AM208" s="15">
        <f t="shared" si="80"/>
        <v>0</v>
      </c>
      <c r="AN208" s="15" t="e">
        <f t="shared" si="81"/>
        <v>#DIV/0!</v>
      </c>
    </row>
    <row r="209" spans="18:40" ht="13.8" x14ac:dyDescent="0.3">
      <c r="R209" s="51">
        <v>98.5</v>
      </c>
      <c r="S209" s="38">
        <f t="shared" si="75"/>
        <v>197</v>
      </c>
      <c r="T209" s="52">
        <f t="shared" si="65"/>
        <v>3.4382986264288293</v>
      </c>
      <c r="U209" s="52">
        <f t="shared" si="82"/>
        <v>0.98901586336191682</v>
      </c>
      <c r="V209" s="52">
        <f t="shared" si="83"/>
        <v>-0.29237170472273677</v>
      </c>
      <c r="W209" s="52">
        <f t="shared" si="76"/>
        <v>-0.14780941112961066</v>
      </c>
      <c r="X209" s="52">
        <f t="shared" si="77"/>
        <v>0</v>
      </c>
      <c r="Y209" s="15">
        <f t="shared" si="66"/>
        <v>0</v>
      </c>
      <c r="Z209" s="52">
        <f t="shared" si="67"/>
        <v>0</v>
      </c>
      <c r="AA209" s="52">
        <f t="shared" si="68"/>
        <v>0</v>
      </c>
      <c r="AB209" s="15" t="e">
        <f t="shared" si="69"/>
        <v>#DIV/0!</v>
      </c>
      <c r="AC209" s="15" t="e">
        <f t="shared" si="78"/>
        <v>#DIV/0!</v>
      </c>
      <c r="AD209" s="15" t="e">
        <f t="shared" si="70"/>
        <v>#DIV/0!</v>
      </c>
      <c r="AE209" s="15" t="e">
        <f t="shared" si="71"/>
        <v>#DIV/0!</v>
      </c>
      <c r="AF209" s="15" t="e">
        <f t="shared" si="72"/>
        <v>#DIV/0!</v>
      </c>
      <c r="AG209" s="15" t="e">
        <f t="shared" si="73"/>
        <v>#DIV/0!</v>
      </c>
      <c r="AH209" s="53" t="e">
        <f t="shared" si="74"/>
        <v>#DIV/0!</v>
      </c>
      <c r="AI209" s="102" t="e">
        <f t="shared" si="79"/>
        <v>#DIV/0!</v>
      </c>
      <c r="AJ209" s="15"/>
      <c r="AK209" s="15" t="e">
        <f t="shared" si="63"/>
        <v>#DIV/0!</v>
      </c>
      <c r="AL209" s="15" t="e">
        <f t="shared" si="64"/>
        <v>#DIV/0!</v>
      </c>
      <c r="AM209" s="15">
        <f t="shared" si="80"/>
        <v>0</v>
      </c>
      <c r="AN209" s="15" t="e">
        <f t="shared" si="81"/>
        <v>#DIV/0!</v>
      </c>
    </row>
    <row r="210" spans="18:40" ht="13.8" x14ac:dyDescent="0.3">
      <c r="R210" s="51">
        <v>99</v>
      </c>
      <c r="S210" s="38">
        <f t="shared" si="75"/>
        <v>198</v>
      </c>
      <c r="T210" s="52">
        <f t="shared" si="65"/>
        <v>3.4557519189487724</v>
      </c>
      <c r="U210" s="52">
        <f t="shared" si="82"/>
        <v>0.98768834059513777</v>
      </c>
      <c r="V210" s="52">
        <f t="shared" si="83"/>
        <v>-0.30901699437494728</v>
      </c>
      <c r="W210" s="52">
        <f t="shared" si="76"/>
        <v>-0.15643446504023081</v>
      </c>
      <c r="X210" s="52">
        <f t="shared" si="77"/>
        <v>0</v>
      </c>
      <c r="Y210" s="15">
        <f t="shared" si="66"/>
        <v>0</v>
      </c>
      <c r="Z210" s="52">
        <f t="shared" si="67"/>
        <v>0</v>
      </c>
      <c r="AA210" s="52">
        <f t="shared" si="68"/>
        <v>0</v>
      </c>
      <c r="AB210" s="15" t="e">
        <f t="shared" si="69"/>
        <v>#DIV/0!</v>
      </c>
      <c r="AC210" s="15" t="e">
        <f t="shared" si="78"/>
        <v>#DIV/0!</v>
      </c>
      <c r="AD210" s="15" t="e">
        <f t="shared" si="70"/>
        <v>#DIV/0!</v>
      </c>
      <c r="AE210" s="15" t="e">
        <f t="shared" si="71"/>
        <v>#DIV/0!</v>
      </c>
      <c r="AF210" s="15" t="e">
        <f t="shared" si="72"/>
        <v>#DIV/0!</v>
      </c>
      <c r="AG210" s="15" t="e">
        <f t="shared" si="73"/>
        <v>#DIV/0!</v>
      </c>
      <c r="AH210" s="53" t="e">
        <f t="shared" si="74"/>
        <v>#DIV/0!</v>
      </c>
      <c r="AI210" s="102" t="e">
        <f t="shared" si="79"/>
        <v>#DIV/0!</v>
      </c>
      <c r="AJ210" s="15"/>
      <c r="AK210" s="15" t="e">
        <f t="shared" si="63"/>
        <v>#DIV/0!</v>
      </c>
      <c r="AL210" s="15" t="e">
        <f t="shared" si="64"/>
        <v>#DIV/0!</v>
      </c>
      <c r="AM210" s="15">
        <f t="shared" si="80"/>
        <v>0</v>
      </c>
      <c r="AN210" s="15" t="e">
        <f t="shared" si="81"/>
        <v>#DIV/0!</v>
      </c>
    </row>
    <row r="211" spans="18:40" ht="13.8" x14ac:dyDescent="0.3">
      <c r="R211" s="51">
        <v>99.5</v>
      </c>
      <c r="S211" s="38">
        <f t="shared" si="75"/>
        <v>199</v>
      </c>
      <c r="T211" s="52">
        <f t="shared" si="65"/>
        <v>3.473205211468716</v>
      </c>
      <c r="U211" s="52">
        <f t="shared" si="82"/>
        <v>0.98628560153723144</v>
      </c>
      <c r="V211" s="52">
        <f t="shared" si="83"/>
        <v>-0.32556815445715676</v>
      </c>
      <c r="W211" s="52">
        <f t="shared" si="76"/>
        <v>-0.16504760586067771</v>
      </c>
      <c r="X211" s="52">
        <f t="shared" si="77"/>
        <v>0</v>
      </c>
      <c r="Y211" s="15">
        <f t="shared" si="66"/>
        <v>0</v>
      </c>
      <c r="Z211" s="52">
        <f t="shared" si="67"/>
        <v>0</v>
      </c>
      <c r="AA211" s="52">
        <f t="shared" si="68"/>
        <v>0</v>
      </c>
      <c r="AB211" s="15" t="e">
        <f t="shared" si="69"/>
        <v>#DIV/0!</v>
      </c>
      <c r="AC211" s="15" t="e">
        <f t="shared" si="78"/>
        <v>#DIV/0!</v>
      </c>
      <c r="AD211" s="15" t="e">
        <f t="shared" si="70"/>
        <v>#DIV/0!</v>
      </c>
      <c r="AE211" s="15" t="e">
        <f t="shared" si="71"/>
        <v>#DIV/0!</v>
      </c>
      <c r="AF211" s="15" t="e">
        <f t="shared" si="72"/>
        <v>#DIV/0!</v>
      </c>
      <c r="AG211" s="15" t="e">
        <f t="shared" si="73"/>
        <v>#DIV/0!</v>
      </c>
      <c r="AH211" s="53" t="e">
        <f t="shared" si="74"/>
        <v>#DIV/0!</v>
      </c>
      <c r="AI211" s="102" t="e">
        <f t="shared" si="79"/>
        <v>#DIV/0!</v>
      </c>
      <c r="AJ211" s="15"/>
      <c r="AK211" s="15" t="e">
        <f t="shared" si="63"/>
        <v>#DIV/0!</v>
      </c>
      <c r="AL211" s="15" t="e">
        <f t="shared" si="64"/>
        <v>#DIV/0!</v>
      </c>
      <c r="AM211" s="15">
        <f t="shared" si="80"/>
        <v>0</v>
      </c>
      <c r="AN211" s="15" t="e">
        <f t="shared" si="81"/>
        <v>#DIV/0!</v>
      </c>
    </row>
    <row r="212" spans="18:40" ht="13.8" x14ac:dyDescent="0.3">
      <c r="R212" s="51">
        <v>100</v>
      </c>
      <c r="S212" s="38">
        <f t="shared" si="75"/>
        <v>200</v>
      </c>
      <c r="T212" s="52">
        <f t="shared" si="65"/>
        <v>3.4906585039886591</v>
      </c>
      <c r="U212" s="52">
        <f t="shared" si="82"/>
        <v>0.98480775301220802</v>
      </c>
      <c r="V212" s="52">
        <f t="shared" si="83"/>
        <v>-0.34202014332566866</v>
      </c>
      <c r="W212" s="52">
        <f t="shared" si="76"/>
        <v>-0.1736481776669303</v>
      </c>
      <c r="X212" s="52">
        <f t="shared" si="77"/>
        <v>0</v>
      </c>
      <c r="Y212" s="15">
        <f t="shared" si="66"/>
        <v>0</v>
      </c>
      <c r="Z212" s="52">
        <f t="shared" si="67"/>
        <v>0</v>
      </c>
      <c r="AA212" s="52">
        <f t="shared" si="68"/>
        <v>0</v>
      </c>
      <c r="AB212" s="15" t="e">
        <f t="shared" si="69"/>
        <v>#DIV/0!</v>
      </c>
      <c r="AC212" s="15" t="e">
        <f t="shared" si="78"/>
        <v>#DIV/0!</v>
      </c>
      <c r="AD212" s="15" t="e">
        <f t="shared" si="70"/>
        <v>#DIV/0!</v>
      </c>
      <c r="AE212" s="15" t="e">
        <f t="shared" si="71"/>
        <v>#DIV/0!</v>
      </c>
      <c r="AF212" s="15" t="e">
        <f t="shared" si="72"/>
        <v>#DIV/0!</v>
      </c>
      <c r="AG212" s="15" t="e">
        <f t="shared" si="73"/>
        <v>#DIV/0!</v>
      </c>
      <c r="AH212" s="53" t="e">
        <f t="shared" si="74"/>
        <v>#DIV/0!</v>
      </c>
      <c r="AI212" s="102" t="e">
        <f t="shared" si="79"/>
        <v>#DIV/0!</v>
      </c>
      <c r="AJ212" s="15"/>
      <c r="AK212" s="15" t="e">
        <f t="shared" si="63"/>
        <v>#DIV/0!</v>
      </c>
      <c r="AL212" s="15" t="e">
        <f t="shared" si="64"/>
        <v>#DIV/0!</v>
      </c>
      <c r="AM212" s="15">
        <f t="shared" si="80"/>
        <v>0</v>
      </c>
      <c r="AN212" s="15" t="e">
        <f t="shared" si="81"/>
        <v>#DIV/0!</v>
      </c>
    </row>
    <row r="213" spans="18:40" ht="13.8" x14ac:dyDescent="0.3">
      <c r="R213" s="51">
        <v>100.5</v>
      </c>
      <c r="S213" s="38">
        <f t="shared" si="75"/>
        <v>201</v>
      </c>
      <c r="T213" s="52">
        <f t="shared" si="65"/>
        <v>3.5081117965086026</v>
      </c>
      <c r="U213" s="52">
        <f t="shared" si="82"/>
        <v>0.98325490756395462</v>
      </c>
      <c r="V213" s="52">
        <f t="shared" si="83"/>
        <v>-0.35836794954530043</v>
      </c>
      <c r="W213" s="52">
        <f t="shared" si="76"/>
        <v>-0.18223552549214753</v>
      </c>
      <c r="X213" s="52">
        <f t="shared" si="77"/>
        <v>0</v>
      </c>
      <c r="Y213" s="15">
        <f t="shared" si="66"/>
        <v>0</v>
      </c>
      <c r="Z213" s="52">
        <f t="shared" si="67"/>
        <v>0</v>
      </c>
      <c r="AA213" s="52">
        <f t="shared" si="68"/>
        <v>0</v>
      </c>
      <c r="AB213" s="15" t="e">
        <f t="shared" si="69"/>
        <v>#DIV/0!</v>
      </c>
      <c r="AC213" s="15" t="e">
        <f t="shared" si="78"/>
        <v>#DIV/0!</v>
      </c>
      <c r="AD213" s="15" t="e">
        <f t="shared" si="70"/>
        <v>#DIV/0!</v>
      </c>
      <c r="AE213" s="15" t="e">
        <f t="shared" si="71"/>
        <v>#DIV/0!</v>
      </c>
      <c r="AF213" s="15" t="e">
        <f t="shared" si="72"/>
        <v>#DIV/0!</v>
      </c>
      <c r="AG213" s="15" t="e">
        <f t="shared" si="73"/>
        <v>#DIV/0!</v>
      </c>
      <c r="AH213" s="53" t="e">
        <f t="shared" si="74"/>
        <v>#DIV/0!</v>
      </c>
      <c r="AI213" s="102" t="e">
        <f t="shared" si="79"/>
        <v>#DIV/0!</v>
      </c>
      <c r="AJ213" s="15"/>
      <c r="AK213" s="15" t="e">
        <f t="shared" si="63"/>
        <v>#DIV/0!</v>
      </c>
      <c r="AL213" s="15" t="e">
        <f t="shared" si="64"/>
        <v>#DIV/0!</v>
      </c>
      <c r="AM213" s="15">
        <f t="shared" si="80"/>
        <v>0</v>
      </c>
      <c r="AN213" s="15" t="e">
        <f t="shared" si="81"/>
        <v>#DIV/0!</v>
      </c>
    </row>
    <row r="214" spans="18:40" ht="13.8" x14ac:dyDescent="0.3">
      <c r="R214" s="51">
        <v>101</v>
      </c>
      <c r="S214" s="38">
        <f t="shared" si="75"/>
        <v>202</v>
      </c>
      <c r="T214" s="52">
        <f t="shared" si="65"/>
        <v>3.5255650890285457</v>
      </c>
      <c r="U214" s="52">
        <f t="shared" si="82"/>
        <v>0.98162718344766398</v>
      </c>
      <c r="V214" s="52">
        <f t="shared" si="83"/>
        <v>-0.37460659341591201</v>
      </c>
      <c r="W214" s="52">
        <f t="shared" si="76"/>
        <v>-0.1908089953765448</v>
      </c>
      <c r="X214" s="52">
        <f t="shared" si="77"/>
        <v>0</v>
      </c>
      <c r="Y214" s="15">
        <f t="shared" si="66"/>
        <v>0</v>
      </c>
      <c r="Z214" s="52">
        <f t="shared" si="67"/>
        <v>0</v>
      </c>
      <c r="AA214" s="52">
        <f t="shared" si="68"/>
        <v>0</v>
      </c>
      <c r="AB214" s="15" t="e">
        <f t="shared" si="69"/>
        <v>#DIV/0!</v>
      </c>
      <c r="AC214" s="15" t="e">
        <f t="shared" si="78"/>
        <v>#DIV/0!</v>
      </c>
      <c r="AD214" s="15" t="e">
        <f t="shared" si="70"/>
        <v>#DIV/0!</v>
      </c>
      <c r="AE214" s="15" t="e">
        <f t="shared" si="71"/>
        <v>#DIV/0!</v>
      </c>
      <c r="AF214" s="15" t="e">
        <f t="shared" si="72"/>
        <v>#DIV/0!</v>
      </c>
      <c r="AG214" s="15" t="e">
        <f t="shared" si="73"/>
        <v>#DIV/0!</v>
      </c>
      <c r="AH214" s="53" t="e">
        <f t="shared" si="74"/>
        <v>#DIV/0!</v>
      </c>
      <c r="AI214" s="102" t="e">
        <f t="shared" si="79"/>
        <v>#DIV/0!</v>
      </c>
      <c r="AJ214" s="15"/>
      <c r="AK214" s="15" t="e">
        <f t="shared" si="63"/>
        <v>#DIV/0!</v>
      </c>
      <c r="AL214" s="15" t="e">
        <f t="shared" si="64"/>
        <v>#DIV/0!</v>
      </c>
      <c r="AM214" s="15">
        <f t="shared" si="80"/>
        <v>0</v>
      </c>
      <c r="AN214" s="15" t="e">
        <f t="shared" si="81"/>
        <v>#DIV/0!</v>
      </c>
    </row>
    <row r="215" spans="18:40" ht="13.8" x14ac:dyDescent="0.3">
      <c r="R215" s="51">
        <v>101.5</v>
      </c>
      <c r="S215" s="38">
        <f t="shared" si="75"/>
        <v>203</v>
      </c>
      <c r="T215" s="52">
        <f t="shared" si="65"/>
        <v>3.5430183815484888</v>
      </c>
      <c r="U215" s="52">
        <f t="shared" si="82"/>
        <v>0.97992470462082959</v>
      </c>
      <c r="V215" s="52">
        <f t="shared" si="83"/>
        <v>-0.39073112848927355</v>
      </c>
      <c r="W215" s="52">
        <f t="shared" si="76"/>
        <v>-0.19936793441719705</v>
      </c>
      <c r="X215" s="52">
        <f t="shared" si="77"/>
        <v>0</v>
      </c>
      <c r="Y215" s="15">
        <f t="shared" si="66"/>
        <v>0</v>
      </c>
      <c r="Z215" s="52">
        <f t="shared" si="67"/>
        <v>0</v>
      </c>
      <c r="AA215" s="52">
        <f t="shared" si="68"/>
        <v>0</v>
      </c>
      <c r="AB215" s="15" t="e">
        <f t="shared" si="69"/>
        <v>#DIV/0!</v>
      </c>
      <c r="AC215" s="15" t="e">
        <f t="shared" si="78"/>
        <v>#DIV/0!</v>
      </c>
      <c r="AD215" s="15" t="e">
        <f t="shared" si="70"/>
        <v>#DIV/0!</v>
      </c>
      <c r="AE215" s="15" t="e">
        <f t="shared" si="71"/>
        <v>#DIV/0!</v>
      </c>
      <c r="AF215" s="15" t="e">
        <f t="shared" si="72"/>
        <v>#DIV/0!</v>
      </c>
      <c r="AG215" s="15" t="e">
        <f t="shared" si="73"/>
        <v>#DIV/0!</v>
      </c>
      <c r="AH215" s="53" t="e">
        <f t="shared" si="74"/>
        <v>#DIV/0!</v>
      </c>
      <c r="AI215" s="102" t="e">
        <f t="shared" si="79"/>
        <v>#DIV/0!</v>
      </c>
      <c r="AJ215" s="15"/>
      <c r="AK215" s="15" t="e">
        <f t="shared" si="63"/>
        <v>#DIV/0!</v>
      </c>
      <c r="AL215" s="15" t="e">
        <f t="shared" si="64"/>
        <v>#DIV/0!</v>
      </c>
      <c r="AM215" s="15">
        <f t="shared" si="80"/>
        <v>0</v>
      </c>
      <c r="AN215" s="15" t="e">
        <f t="shared" si="81"/>
        <v>#DIV/0!</v>
      </c>
    </row>
    <row r="216" spans="18:40" ht="13.8" x14ac:dyDescent="0.3">
      <c r="R216" s="51">
        <v>102</v>
      </c>
      <c r="S216" s="38">
        <f t="shared" si="75"/>
        <v>204</v>
      </c>
      <c r="T216" s="52">
        <f t="shared" si="65"/>
        <v>3.5604716740684323</v>
      </c>
      <c r="U216" s="52">
        <f t="shared" si="82"/>
        <v>0.97814760073380569</v>
      </c>
      <c r="V216" s="52">
        <f t="shared" si="83"/>
        <v>-0.40673664307580021</v>
      </c>
      <c r="W216" s="52">
        <f t="shared" si="76"/>
        <v>-0.20791169081775934</v>
      </c>
      <c r="X216" s="52">
        <f t="shared" si="77"/>
        <v>0</v>
      </c>
      <c r="Y216" s="15">
        <f t="shared" si="66"/>
        <v>0</v>
      </c>
      <c r="Z216" s="52">
        <f t="shared" si="67"/>
        <v>0</v>
      </c>
      <c r="AA216" s="52">
        <f t="shared" si="68"/>
        <v>0</v>
      </c>
      <c r="AB216" s="15" t="e">
        <f t="shared" si="69"/>
        <v>#DIV/0!</v>
      </c>
      <c r="AC216" s="15" t="e">
        <f t="shared" si="78"/>
        <v>#DIV/0!</v>
      </c>
      <c r="AD216" s="15" t="e">
        <f t="shared" si="70"/>
        <v>#DIV/0!</v>
      </c>
      <c r="AE216" s="15" t="e">
        <f t="shared" si="71"/>
        <v>#DIV/0!</v>
      </c>
      <c r="AF216" s="15" t="e">
        <f t="shared" si="72"/>
        <v>#DIV/0!</v>
      </c>
      <c r="AG216" s="15" t="e">
        <f t="shared" si="73"/>
        <v>#DIV/0!</v>
      </c>
      <c r="AH216" s="53" t="e">
        <f t="shared" si="74"/>
        <v>#DIV/0!</v>
      </c>
      <c r="AI216" s="102" t="e">
        <f t="shared" si="79"/>
        <v>#DIV/0!</v>
      </c>
      <c r="AJ216" s="15"/>
      <c r="AK216" s="15" t="e">
        <f t="shared" si="63"/>
        <v>#DIV/0!</v>
      </c>
      <c r="AL216" s="15" t="e">
        <f t="shared" si="64"/>
        <v>#DIV/0!</v>
      </c>
      <c r="AM216" s="15">
        <f t="shared" si="80"/>
        <v>0</v>
      </c>
      <c r="AN216" s="15" t="e">
        <f t="shared" si="81"/>
        <v>#DIV/0!</v>
      </c>
    </row>
    <row r="217" spans="18:40" ht="13.8" x14ac:dyDescent="0.3">
      <c r="R217" s="51">
        <v>102.5</v>
      </c>
      <c r="S217" s="38">
        <f t="shared" si="75"/>
        <v>205</v>
      </c>
      <c r="T217" s="52">
        <f t="shared" si="65"/>
        <v>3.5779249665883754</v>
      </c>
      <c r="U217" s="52">
        <f t="shared" si="82"/>
        <v>0.97629600711993336</v>
      </c>
      <c r="V217" s="52">
        <f t="shared" si="83"/>
        <v>-0.42261826174069927</v>
      </c>
      <c r="W217" s="52">
        <f t="shared" si="76"/>
        <v>-0.21643961393810279</v>
      </c>
      <c r="X217" s="52">
        <f t="shared" si="77"/>
        <v>0</v>
      </c>
      <c r="Y217" s="15">
        <f t="shared" si="66"/>
        <v>0</v>
      </c>
      <c r="Z217" s="52">
        <f t="shared" si="67"/>
        <v>0</v>
      </c>
      <c r="AA217" s="52">
        <f t="shared" si="68"/>
        <v>0</v>
      </c>
      <c r="AB217" s="15" t="e">
        <f t="shared" si="69"/>
        <v>#DIV/0!</v>
      </c>
      <c r="AC217" s="15" t="e">
        <f t="shared" si="78"/>
        <v>#DIV/0!</v>
      </c>
      <c r="AD217" s="15" t="e">
        <f t="shared" si="70"/>
        <v>#DIV/0!</v>
      </c>
      <c r="AE217" s="15" t="e">
        <f t="shared" si="71"/>
        <v>#DIV/0!</v>
      </c>
      <c r="AF217" s="15" t="e">
        <f t="shared" si="72"/>
        <v>#DIV/0!</v>
      </c>
      <c r="AG217" s="15" t="e">
        <f t="shared" si="73"/>
        <v>#DIV/0!</v>
      </c>
      <c r="AH217" s="53" t="e">
        <f t="shared" si="74"/>
        <v>#DIV/0!</v>
      </c>
      <c r="AI217" s="102" t="e">
        <f t="shared" si="79"/>
        <v>#DIV/0!</v>
      </c>
      <c r="AJ217" s="15"/>
      <c r="AK217" s="15" t="e">
        <f t="shared" si="63"/>
        <v>#DIV/0!</v>
      </c>
      <c r="AL217" s="15" t="e">
        <f t="shared" si="64"/>
        <v>#DIV/0!</v>
      </c>
      <c r="AM217" s="15">
        <f t="shared" si="80"/>
        <v>0</v>
      </c>
      <c r="AN217" s="15" t="e">
        <f t="shared" si="81"/>
        <v>#DIV/0!</v>
      </c>
    </row>
    <row r="218" spans="18:40" ht="13.8" x14ac:dyDescent="0.3">
      <c r="R218" s="51">
        <v>103</v>
      </c>
      <c r="S218" s="38">
        <f t="shared" si="75"/>
        <v>206</v>
      </c>
      <c r="T218" s="52">
        <f t="shared" si="65"/>
        <v>3.595378259108319</v>
      </c>
      <c r="U218" s="52">
        <f t="shared" si="82"/>
        <v>0.97437006478523525</v>
      </c>
      <c r="V218" s="52">
        <f t="shared" si="83"/>
        <v>-0.43837114678907746</v>
      </c>
      <c r="W218" s="52">
        <f t="shared" si="76"/>
        <v>-0.22495105434386503</v>
      </c>
      <c r="X218" s="52">
        <f t="shared" si="77"/>
        <v>0</v>
      </c>
      <c r="Y218" s="15">
        <f t="shared" si="66"/>
        <v>0</v>
      </c>
      <c r="Z218" s="52">
        <f t="shared" si="67"/>
        <v>0</v>
      </c>
      <c r="AA218" s="52">
        <f t="shared" si="68"/>
        <v>0</v>
      </c>
      <c r="AB218" s="15" t="e">
        <f t="shared" si="69"/>
        <v>#DIV/0!</v>
      </c>
      <c r="AC218" s="15" t="e">
        <f t="shared" si="78"/>
        <v>#DIV/0!</v>
      </c>
      <c r="AD218" s="15" t="e">
        <f t="shared" si="70"/>
        <v>#DIV/0!</v>
      </c>
      <c r="AE218" s="15" t="e">
        <f t="shared" si="71"/>
        <v>#DIV/0!</v>
      </c>
      <c r="AF218" s="15" t="e">
        <f t="shared" si="72"/>
        <v>#DIV/0!</v>
      </c>
      <c r="AG218" s="15" t="e">
        <f t="shared" si="73"/>
        <v>#DIV/0!</v>
      </c>
      <c r="AH218" s="53" t="e">
        <f t="shared" si="74"/>
        <v>#DIV/0!</v>
      </c>
      <c r="AI218" s="102" t="e">
        <f t="shared" si="79"/>
        <v>#DIV/0!</v>
      </c>
      <c r="AJ218" s="15"/>
      <c r="AK218" s="15" t="e">
        <f t="shared" si="63"/>
        <v>#DIV/0!</v>
      </c>
      <c r="AL218" s="15" t="e">
        <f t="shared" si="64"/>
        <v>#DIV/0!</v>
      </c>
      <c r="AM218" s="15">
        <f t="shared" si="80"/>
        <v>0</v>
      </c>
      <c r="AN218" s="15" t="e">
        <f t="shared" si="81"/>
        <v>#DIV/0!</v>
      </c>
    </row>
    <row r="219" spans="18:40" ht="13.8" x14ac:dyDescent="0.3">
      <c r="R219" s="51">
        <v>103.5</v>
      </c>
      <c r="S219" s="38">
        <f t="shared" si="75"/>
        <v>207</v>
      </c>
      <c r="T219" s="52">
        <f t="shared" si="65"/>
        <v>3.6128315516282621</v>
      </c>
      <c r="U219" s="52">
        <f t="shared" si="82"/>
        <v>0.97236992039767667</v>
      </c>
      <c r="V219" s="52">
        <f t="shared" si="83"/>
        <v>-0.45399049973954669</v>
      </c>
      <c r="W219" s="52">
        <f t="shared" si="76"/>
        <v>-0.23344536385590534</v>
      </c>
      <c r="X219" s="52">
        <f t="shared" si="77"/>
        <v>0</v>
      </c>
      <c r="Y219" s="15">
        <f t="shared" si="66"/>
        <v>0</v>
      </c>
      <c r="Z219" s="52">
        <f t="shared" si="67"/>
        <v>0</v>
      </c>
      <c r="AA219" s="52">
        <f t="shared" si="68"/>
        <v>0</v>
      </c>
      <c r="AB219" s="15" t="e">
        <f t="shared" si="69"/>
        <v>#DIV/0!</v>
      </c>
      <c r="AC219" s="15" t="e">
        <f t="shared" si="78"/>
        <v>#DIV/0!</v>
      </c>
      <c r="AD219" s="15" t="e">
        <f t="shared" si="70"/>
        <v>#DIV/0!</v>
      </c>
      <c r="AE219" s="15" t="e">
        <f t="shared" si="71"/>
        <v>#DIV/0!</v>
      </c>
      <c r="AF219" s="15" t="e">
        <f t="shared" si="72"/>
        <v>#DIV/0!</v>
      </c>
      <c r="AG219" s="15" t="e">
        <f t="shared" si="73"/>
        <v>#DIV/0!</v>
      </c>
      <c r="AH219" s="53" t="e">
        <f t="shared" si="74"/>
        <v>#DIV/0!</v>
      </c>
      <c r="AI219" s="102" t="e">
        <f t="shared" si="79"/>
        <v>#DIV/0!</v>
      </c>
      <c r="AJ219" s="15"/>
      <c r="AK219" s="15" t="e">
        <f t="shared" si="63"/>
        <v>#DIV/0!</v>
      </c>
      <c r="AL219" s="15" t="e">
        <f t="shared" si="64"/>
        <v>#DIV/0!</v>
      </c>
      <c r="AM219" s="15">
        <f t="shared" si="80"/>
        <v>0</v>
      </c>
      <c r="AN219" s="15" t="e">
        <f t="shared" si="81"/>
        <v>#DIV/0!</v>
      </c>
    </row>
    <row r="220" spans="18:40" ht="13.8" x14ac:dyDescent="0.3">
      <c r="R220" s="51">
        <v>104</v>
      </c>
      <c r="S220" s="38">
        <f t="shared" si="75"/>
        <v>208</v>
      </c>
      <c r="T220" s="52">
        <f t="shared" si="65"/>
        <v>3.6302848441482056</v>
      </c>
      <c r="U220" s="52">
        <f t="shared" si="82"/>
        <v>0.97029572627599647</v>
      </c>
      <c r="V220" s="52">
        <f t="shared" si="83"/>
        <v>-0.46947156278589086</v>
      </c>
      <c r="W220" s="52">
        <f t="shared" si="76"/>
        <v>-0.24192189559966779</v>
      </c>
      <c r="X220" s="52">
        <f t="shared" si="77"/>
        <v>0</v>
      </c>
      <c r="Y220" s="15">
        <f t="shared" si="66"/>
        <v>0</v>
      </c>
      <c r="Z220" s="52">
        <f t="shared" si="67"/>
        <v>0</v>
      </c>
      <c r="AA220" s="52">
        <f t="shared" si="68"/>
        <v>0</v>
      </c>
      <c r="AB220" s="15" t="e">
        <f t="shared" si="69"/>
        <v>#DIV/0!</v>
      </c>
      <c r="AC220" s="15" t="e">
        <f t="shared" si="78"/>
        <v>#DIV/0!</v>
      </c>
      <c r="AD220" s="15" t="e">
        <f t="shared" si="70"/>
        <v>#DIV/0!</v>
      </c>
      <c r="AE220" s="15" t="e">
        <f t="shared" si="71"/>
        <v>#DIV/0!</v>
      </c>
      <c r="AF220" s="15" t="e">
        <f t="shared" si="72"/>
        <v>#DIV/0!</v>
      </c>
      <c r="AG220" s="15" t="e">
        <f t="shared" si="73"/>
        <v>#DIV/0!</v>
      </c>
      <c r="AH220" s="53" t="e">
        <f t="shared" si="74"/>
        <v>#DIV/0!</v>
      </c>
      <c r="AI220" s="102" t="e">
        <f t="shared" si="79"/>
        <v>#DIV/0!</v>
      </c>
      <c r="AJ220" s="15"/>
      <c r="AK220" s="15" t="e">
        <f t="shared" si="63"/>
        <v>#DIV/0!</v>
      </c>
      <c r="AL220" s="15" t="e">
        <f t="shared" si="64"/>
        <v>#DIV/0!</v>
      </c>
      <c r="AM220" s="15">
        <f t="shared" si="80"/>
        <v>0</v>
      </c>
      <c r="AN220" s="15" t="e">
        <f t="shared" si="81"/>
        <v>#DIV/0!</v>
      </c>
    </row>
    <row r="221" spans="18:40" ht="13.8" x14ac:dyDescent="0.3">
      <c r="R221" s="51">
        <v>104.5</v>
      </c>
      <c r="S221" s="38">
        <f t="shared" si="75"/>
        <v>209</v>
      </c>
      <c r="T221" s="52">
        <f t="shared" si="65"/>
        <v>3.6477381366681487</v>
      </c>
      <c r="U221" s="52">
        <f t="shared" si="82"/>
        <v>0.96814764037810774</v>
      </c>
      <c r="V221" s="52">
        <f t="shared" si="83"/>
        <v>-0.48480962024633695</v>
      </c>
      <c r="W221" s="52">
        <f t="shared" si="76"/>
        <v>-0.25038000405444139</v>
      </c>
      <c r="X221" s="52">
        <f t="shared" si="77"/>
        <v>0</v>
      </c>
      <c r="Y221" s="15">
        <f t="shared" si="66"/>
        <v>0</v>
      </c>
      <c r="Z221" s="52">
        <f t="shared" si="67"/>
        <v>0</v>
      </c>
      <c r="AA221" s="52">
        <f t="shared" si="68"/>
        <v>0</v>
      </c>
      <c r="AB221" s="15" t="e">
        <f t="shared" si="69"/>
        <v>#DIV/0!</v>
      </c>
      <c r="AC221" s="15" t="e">
        <f t="shared" si="78"/>
        <v>#DIV/0!</v>
      </c>
      <c r="AD221" s="15" t="e">
        <f t="shared" si="70"/>
        <v>#DIV/0!</v>
      </c>
      <c r="AE221" s="15" t="e">
        <f t="shared" si="71"/>
        <v>#DIV/0!</v>
      </c>
      <c r="AF221" s="15" t="e">
        <f t="shared" si="72"/>
        <v>#DIV/0!</v>
      </c>
      <c r="AG221" s="15" t="e">
        <f t="shared" si="73"/>
        <v>#DIV/0!</v>
      </c>
      <c r="AH221" s="53" t="e">
        <f t="shared" si="74"/>
        <v>#DIV/0!</v>
      </c>
      <c r="AI221" s="102" t="e">
        <f t="shared" si="79"/>
        <v>#DIV/0!</v>
      </c>
      <c r="AJ221" s="15"/>
      <c r="AK221" s="15" t="e">
        <f t="shared" si="63"/>
        <v>#DIV/0!</v>
      </c>
      <c r="AL221" s="15" t="e">
        <f t="shared" si="64"/>
        <v>#DIV/0!</v>
      </c>
      <c r="AM221" s="15">
        <f t="shared" si="80"/>
        <v>0</v>
      </c>
      <c r="AN221" s="15" t="e">
        <f t="shared" si="81"/>
        <v>#DIV/0!</v>
      </c>
    </row>
    <row r="222" spans="18:40" ht="13.8" x14ac:dyDescent="0.3">
      <c r="R222" s="51">
        <v>105</v>
      </c>
      <c r="S222" s="38">
        <f t="shared" si="75"/>
        <v>210</v>
      </c>
      <c r="T222" s="52">
        <f t="shared" si="65"/>
        <v>3.6651914291880923</v>
      </c>
      <c r="U222" s="52">
        <f t="shared" si="82"/>
        <v>0.96592582628906831</v>
      </c>
      <c r="V222" s="52">
        <f t="shared" si="83"/>
        <v>-0.50000000000000011</v>
      </c>
      <c r="W222" s="52">
        <f t="shared" si="76"/>
        <v>-0.25881904510252085</v>
      </c>
      <c r="X222" s="52">
        <f t="shared" si="77"/>
        <v>0</v>
      </c>
      <c r="Y222" s="15">
        <f t="shared" si="66"/>
        <v>0</v>
      </c>
      <c r="Z222" s="52">
        <f t="shared" si="67"/>
        <v>0</v>
      </c>
      <c r="AA222" s="52">
        <f t="shared" si="68"/>
        <v>0</v>
      </c>
      <c r="AB222" s="15" t="e">
        <f t="shared" si="69"/>
        <v>#DIV/0!</v>
      </c>
      <c r="AC222" s="15" t="e">
        <f t="shared" si="78"/>
        <v>#DIV/0!</v>
      </c>
      <c r="AD222" s="15" t="e">
        <f t="shared" si="70"/>
        <v>#DIV/0!</v>
      </c>
      <c r="AE222" s="15" t="e">
        <f t="shared" si="71"/>
        <v>#DIV/0!</v>
      </c>
      <c r="AF222" s="15" t="e">
        <f t="shared" si="72"/>
        <v>#DIV/0!</v>
      </c>
      <c r="AG222" s="15" t="e">
        <f t="shared" si="73"/>
        <v>#DIV/0!</v>
      </c>
      <c r="AH222" s="53" t="e">
        <f t="shared" si="74"/>
        <v>#DIV/0!</v>
      </c>
      <c r="AI222" s="102" t="e">
        <f t="shared" si="79"/>
        <v>#DIV/0!</v>
      </c>
      <c r="AJ222" s="15"/>
      <c r="AK222" s="15" t="e">
        <f t="shared" si="63"/>
        <v>#DIV/0!</v>
      </c>
      <c r="AL222" s="15" t="e">
        <f t="shared" si="64"/>
        <v>#DIV/0!</v>
      </c>
      <c r="AM222" s="15">
        <f t="shared" si="80"/>
        <v>0</v>
      </c>
      <c r="AN222" s="15" t="e">
        <f t="shared" si="81"/>
        <v>#DIV/0!</v>
      </c>
    </row>
    <row r="223" spans="18:40" ht="13.8" x14ac:dyDescent="0.3">
      <c r="R223" s="51">
        <v>105.5</v>
      </c>
      <c r="S223" s="38">
        <f t="shared" si="75"/>
        <v>211</v>
      </c>
      <c r="T223" s="52">
        <f t="shared" si="65"/>
        <v>3.6826447217080354</v>
      </c>
      <c r="U223" s="52">
        <f t="shared" si="82"/>
        <v>0.96363045320862295</v>
      </c>
      <c r="V223" s="52">
        <f t="shared" si="83"/>
        <v>-0.51503807491005416</v>
      </c>
      <c r="W223" s="52">
        <f t="shared" si="76"/>
        <v>-0.26723837607825685</v>
      </c>
      <c r="X223" s="52">
        <f t="shared" si="77"/>
        <v>0</v>
      </c>
      <c r="Y223" s="15">
        <f t="shared" si="66"/>
        <v>0</v>
      </c>
      <c r="Z223" s="52">
        <f t="shared" si="67"/>
        <v>0</v>
      </c>
      <c r="AA223" s="52">
        <f t="shared" si="68"/>
        <v>0</v>
      </c>
      <c r="AB223" s="15" t="e">
        <f t="shared" si="69"/>
        <v>#DIV/0!</v>
      </c>
      <c r="AC223" s="15" t="e">
        <f t="shared" si="78"/>
        <v>#DIV/0!</v>
      </c>
      <c r="AD223" s="15" t="e">
        <f t="shared" si="70"/>
        <v>#DIV/0!</v>
      </c>
      <c r="AE223" s="15" t="e">
        <f t="shared" si="71"/>
        <v>#DIV/0!</v>
      </c>
      <c r="AF223" s="15" t="e">
        <f t="shared" si="72"/>
        <v>#DIV/0!</v>
      </c>
      <c r="AG223" s="15" t="e">
        <f t="shared" si="73"/>
        <v>#DIV/0!</v>
      </c>
      <c r="AH223" s="53" t="e">
        <f t="shared" si="74"/>
        <v>#DIV/0!</v>
      </c>
      <c r="AI223" s="102" t="e">
        <f t="shared" si="79"/>
        <v>#DIV/0!</v>
      </c>
      <c r="AJ223" s="15"/>
      <c r="AK223" s="15" t="e">
        <f t="shared" si="63"/>
        <v>#DIV/0!</v>
      </c>
      <c r="AL223" s="15" t="e">
        <f t="shared" si="64"/>
        <v>#DIV/0!</v>
      </c>
      <c r="AM223" s="15">
        <f t="shared" si="80"/>
        <v>0</v>
      </c>
      <c r="AN223" s="15" t="e">
        <f t="shared" si="81"/>
        <v>#DIV/0!</v>
      </c>
    </row>
    <row r="224" spans="18:40" ht="13.8" x14ac:dyDescent="0.3">
      <c r="R224" s="51">
        <v>106</v>
      </c>
      <c r="S224" s="38">
        <f t="shared" si="75"/>
        <v>212</v>
      </c>
      <c r="T224" s="52">
        <f t="shared" si="65"/>
        <v>3.7000980142279785</v>
      </c>
      <c r="U224" s="52">
        <f t="shared" si="82"/>
        <v>0.96126169593831889</v>
      </c>
      <c r="V224" s="52">
        <f t="shared" si="83"/>
        <v>-0.52991926423320479</v>
      </c>
      <c r="W224" s="52">
        <f t="shared" si="76"/>
        <v>-0.27563735581699905</v>
      </c>
      <c r="X224" s="52">
        <f t="shared" si="77"/>
        <v>0</v>
      </c>
      <c r="Y224" s="15">
        <f t="shared" si="66"/>
        <v>0</v>
      </c>
      <c r="Z224" s="52">
        <f t="shared" si="67"/>
        <v>0</v>
      </c>
      <c r="AA224" s="52">
        <f t="shared" si="68"/>
        <v>0</v>
      </c>
      <c r="AB224" s="15" t="e">
        <f t="shared" si="69"/>
        <v>#DIV/0!</v>
      </c>
      <c r="AC224" s="15" t="e">
        <f t="shared" si="78"/>
        <v>#DIV/0!</v>
      </c>
      <c r="AD224" s="15" t="e">
        <f t="shared" si="70"/>
        <v>#DIV/0!</v>
      </c>
      <c r="AE224" s="15" t="e">
        <f t="shared" si="71"/>
        <v>#DIV/0!</v>
      </c>
      <c r="AF224" s="15" t="e">
        <f t="shared" si="72"/>
        <v>#DIV/0!</v>
      </c>
      <c r="AG224" s="15" t="e">
        <f t="shared" si="73"/>
        <v>#DIV/0!</v>
      </c>
      <c r="AH224" s="53" t="e">
        <f t="shared" si="74"/>
        <v>#DIV/0!</v>
      </c>
      <c r="AI224" s="102" t="e">
        <f t="shared" si="79"/>
        <v>#DIV/0!</v>
      </c>
      <c r="AJ224" s="15"/>
      <c r="AK224" s="15" t="e">
        <f t="shared" si="63"/>
        <v>#DIV/0!</v>
      </c>
      <c r="AL224" s="15" t="e">
        <f t="shared" si="64"/>
        <v>#DIV/0!</v>
      </c>
      <c r="AM224" s="15">
        <f t="shared" si="80"/>
        <v>0</v>
      </c>
      <c r="AN224" s="15" t="e">
        <f t="shared" si="81"/>
        <v>#DIV/0!</v>
      </c>
    </row>
    <row r="225" spans="18:40" ht="13.8" x14ac:dyDescent="0.3">
      <c r="R225" s="51">
        <v>106.5</v>
      </c>
      <c r="S225" s="38">
        <f t="shared" si="75"/>
        <v>213</v>
      </c>
      <c r="T225" s="52">
        <f t="shared" si="65"/>
        <v>3.717551306747922</v>
      </c>
      <c r="U225" s="52">
        <f t="shared" si="82"/>
        <v>0.95881973486819305</v>
      </c>
      <c r="V225" s="52">
        <f t="shared" si="83"/>
        <v>-0.54463903501502708</v>
      </c>
      <c r="W225" s="52">
        <f t="shared" si="76"/>
        <v>-0.28401534470392265</v>
      </c>
      <c r="X225" s="52">
        <f t="shared" si="77"/>
        <v>0</v>
      </c>
      <c r="Y225" s="15">
        <f t="shared" si="66"/>
        <v>0</v>
      </c>
      <c r="Z225" s="52">
        <f t="shared" si="67"/>
        <v>0</v>
      </c>
      <c r="AA225" s="52">
        <f t="shared" si="68"/>
        <v>0</v>
      </c>
      <c r="AB225" s="15" t="e">
        <f t="shared" si="69"/>
        <v>#DIV/0!</v>
      </c>
      <c r="AC225" s="15" t="e">
        <f t="shared" si="78"/>
        <v>#DIV/0!</v>
      </c>
      <c r="AD225" s="15" t="e">
        <f t="shared" si="70"/>
        <v>#DIV/0!</v>
      </c>
      <c r="AE225" s="15" t="e">
        <f t="shared" si="71"/>
        <v>#DIV/0!</v>
      </c>
      <c r="AF225" s="15" t="e">
        <f t="shared" si="72"/>
        <v>#DIV/0!</v>
      </c>
      <c r="AG225" s="15" t="e">
        <f t="shared" si="73"/>
        <v>#DIV/0!</v>
      </c>
      <c r="AH225" s="53" t="e">
        <f t="shared" si="74"/>
        <v>#DIV/0!</v>
      </c>
      <c r="AI225" s="102" t="e">
        <f t="shared" si="79"/>
        <v>#DIV/0!</v>
      </c>
      <c r="AJ225" s="15"/>
      <c r="AK225" s="15" t="e">
        <f t="shared" si="63"/>
        <v>#DIV/0!</v>
      </c>
      <c r="AL225" s="15" t="e">
        <f t="shared" si="64"/>
        <v>#DIV/0!</v>
      </c>
      <c r="AM225" s="15">
        <f t="shared" si="80"/>
        <v>0</v>
      </c>
      <c r="AN225" s="15" t="e">
        <f t="shared" si="81"/>
        <v>#DIV/0!</v>
      </c>
    </row>
    <row r="226" spans="18:40" ht="13.8" x14ac:dyDescent="0.3">
      <c r="R226" s="51">
        <v>107</v>
      </c>
      <c r="S226" s="38">
        <f t="shared" si="75"/>
        <v>214</v>
      </c>
      <c r="T226" s="52">
        <f t="shared" si="65"/>
        <v>3.7350045992678651</v>
      </c>
      <c r="U226" s="52">
        <f t="shared" si="82"/>
        <v>0.95630475596303555</v>
      </c>
      <c r="V226" s="52">
        <f t="shared" si="83"/>
        <v>-0.55919290347074668</v>
      </c>
      <c r="W226" s="52">
        <f t="shared" si="76"/>
        <v>-0.29237170472273666</v>
      </c>
      <c r="X226" s="52">
        <f t="shared" si="77"/>
        <v>0</v>
      </c>
      <c r="Y226" s="15">
        <f t="shared" si="66"/>
        <v>0</v>
      </c>
      <c r="Z226" s="52">
        <f t="shared" si="67"/>
        <v>0</v>
      </c>
      <c r="AA226" s="52">
        <f t="shared" si="68"/>
        <v>0</v>
      </c>
      <c r="AB226" s="15" t="e">
        <f t="shared" si="69"/>
        <v>#DIV/0!</v>
      </c>
      <c r="AC226" s="15" t="e">
        <f t="shared" si="78"/>
        <v>#DIV/0!</v>
      </c>
      <c r="AD226" s="15" t="e">
        <f t="shared" si="70"/>
        <v>#DIV/0!</v>
      </c>
      <c r="AE226" s="15" t="e">
        <f t="shared" si="71"/>
        <v>#DIV/0!</v>
      </c>
      <c r="AF226" s="15" t="e">
        <f t="shared" si="72"/>
        <v>#DIV/0!</v>
      </c>
      <c r="AG226" s="15" t="e">
        <f t="shared" si="73"/>
        <v>#DIV/0!</v>
      </c>
      <c r="AH226" s="53" t="e">
        <f t="shared" si="74"/>
        <v>#DIV/0!</v>
      </c>
      <c r="AI226" s="102" t="e">
        <f t="shared" si="79"/>
        <v>#DIV/0!</v>
      </c>
      <c r="AJ226" s="15"/>
      <c r="AK226" s="15" t="e">
        <f t="shared" si="63"/>
        <v>#DIV/0!</v>
      </c>
      <c r="AL226" s="15" t="e">
        <f t="shared" si="64"/>
        <v>#DIV/0!</v>
      </c>
      <c r="AM226" s="15">
        <f t="shared" si="80"/>
        <v>0</v>
      </c>
      <c r="AN226" s="15" t="e">
        <f t="shared" si="81"/>
        <v>#DIV/0!</v>
      </c>
    </row>
    <row r="227" spans="18:40" ht="13.8" x14ac:dyDescent="0.3">
      <c r="R227" s="51">
        <v>107.5</v>
      </c>
      <c r="S227" s="38">
        <f t="shared" si="75"/>
        <v>215</v>
      </c>
      <c r="T227" s="52">
        <f t="shared" si="65"/>
        <v>3.7524578917878086</v>
      </c>
      <c r="U227" s="52">
        <f t="shared" si="82"/>
        <v>0.95371695074822693</v>
      </c>
      <c r="V227" s="52">
        <f t="shared" si="83"/>
        <v>-0.57357643635104616</v>
      </c>
      <c r="W227" s="52">
        <f t="shared" si="76"/>
        <v>-0.30070579950427312</v>
      </c>
      <c r="X227" s="52">
        <f t="shared" si="77"/>
        <v>0</v>
      </c>
      <c r="Y227" s="15">
        <f t="shared" si="66"/>
        <v>0</v>
      </c>
      <c r="Z227" s="52">
        <f t="shared" si="67"/>
        <v>0</v>
      </c>
      <c r="AA227" s="52">
        <f t="shared" si="68"/>
        <v>0</v>
      </c>
      <c r="AB227" s="15" t="e">
        <f t="shared" si="69"/>
        <v>#DIV/0!</v>
      </c>
      <c r="AC227" s="15" t="e">
        <f t="shared" si="78"/>
        <v>#DIV/0!</v>
      </c>
      <c r="AD227" s="15" t="e">
        <f t="shared" si="70"/>
        <v>#DIV/0!</v>
      </c>
      <c r="AE227" s="15" t="e">
        <f t="shared" si="71"/>
        <v>#DIV/0!</v>
      </c>
      <c r="AF227" s="15" t="e">
        <f t="shared" si="72"/>
        <v>#DIV/0!</v>
      </c>
      <c r="AG227" s="15" t="e">
        <f t="shared" si="73"/>
        <v>#DIV/0!</v>
      </c>
      <c r="AH227" s="53" t="e">
        <f t="shared" si="74"/>
        <v>#DIV/0!</v>
      </c>
      <c r="AI227" s="102" t="e">
        <f t="shared" si="79"/>
        <v>#DIV/0!</v>
      </c>
      <c r="AJ227" s="15"/>
      <c r="AK227" s="15" t="e">
        <f t="shared" si="63"/>
        <v>#DIV/0!</v>
      </c>
      <c r="AL227" s="15" t="e">
        <f t="shared" si="64"/>
        <v>#DIV/0!</v>
      </c>
      <c r="AM227" s="15">
        <f t="shared" si="80"/>
        <v>0</v>
      </c>
      <c r="AN227" s="15" t="e">
        <f t="shared" si="81"/>
        <v>#DIV/0!</v>
      </c>
    </row>
    <row r="228" spans="18:40" ht="13.8" x14ac:dyDescent="0.3">
      <c r="R228" s="51">
        <v>108</v>
      </c>
      <c r="S228" s="38">
        <f t="shared" si="75"/>
        <v>216</v>
      </c>
      <c r="T228" s="52">
        <f t="shared" si="65"/>
        <v>3.7699111843077517</v>
      </c>
      <c r="U228" s="52">
        <f t="shared" si="82"/>
        <v>0.95105651629515364</v>
      </c>
      <c r="V228" s="52">
        <f t="shared" si="83"/>
        <v>-0.58778525229247303</v>
      </c>
      <c r="W228" s="52">
        <f t="shared" si="76"/>
        <v>-0.30901699437494734</v>
      </c>
      <c r="X228" s="52">
        <f t="shared" si="77"/>
        <v>0</v>
      </c>
      <c r="Y228" s="15">
        <f t="shared" si="66"/>
        <v>0</v>
      </c>
      <c r="Z228" s="52">
        <f t="shared" si="67"/>
        <v>0</v>
      </c>
      <c r="AA228" s="52">
        <f t="shared" si="68"/>
        <v>0</v>
      </c>
      <c r="AB228" s="15" t="e">
        <f t="shared" si="69"/>
        <v>#DIV/0!</v>
      </c>
      <c r="AC228" s="15" t="e">
        <f t="shared" si="78"/>
        <v>#DIV/0!</v>
      </c>
      <c r="AD228" s="15" t="e">
        <f t="shared" si="70"/>
        <v>#DIV/0!</v>
      </c>
      <c r="AE228" s="15" t="e">
        <f t="shared" si="71"/>
        <v>#DIV/0!</v>
      </c>
      <c r="AF228" s="15" t="e">
        <f t="shared" si="72"/>
        <v>#DIV/0!</v>
      </c>
      <c r="AG228" s="15" t="e">
        <f t="shared" si="73"/>
        <v>#DIV/0!</v>
      </c>
      <c r="AH228" s="53" t="e">
        <f t="shared" si="74"/>
        <v>#DIV/0!</v>
      </c>
      <c r="AI228" s="102" t="e">
        <f t="shared" si="79"/>
        <v>#DIV/0!</v>
      </c>
      <c r="AJ228" s="15"/>
      <c r="AK228" s="15" t="e">
        <f t="shared" si="63"/>
        <v>#DIV/0!</v>
      </c>
      <c r="AL228" s="15" t="e">
        <f t="shared" si="64"/>
        <v>#DIV/0!</v>
      </c>
      <c r="AM228" s="15">
        <f t="shared" si="80"/>
        <v>0</v>
      </c>
      <c r="AN228" s="15" t="e">
        <f t="shared" si="81"/>
        <v>#DIV/0!</v>
      </c>
    </row>
    <row r="229" spans="18:40" ht="13.8" x14ac:dyDescent="0.3">
      <c r="R229" s="51">
        <v>108.5</v>
      </c>
      <c r="S229" s="38">
        <f t="shared" si="75"/>
        <v>217</v>
      </c>
      <c r="T229" s="52">
        <f t="shared" si="65"/>
        <v>3.7873644768276953</v>
      </c>
      <c r="U229" s="52">
        <f t="shared" si="82"/>
        <v>0.94832365520619932</v>
      </c>
      <c r="V229" s="52">
        <f t="shared" si="83"/>
        <v>-0.60181502315204838</v>
      </c>
      <c r="W229" s="52">
        <f t="shared" si="76"/>
        <v>-0.3173046564050922</v>
      </c>
      <c r="X229" s="52">
        <f t="shared" si="77"/>
        <v>0</v>
      </c>
      <c r="Y229" s="15">
        <f t="shared" si="66"/>
        <v>0</v>
      </c>
      <c r="Z229" s="52">
        <f t="shared" si="67"/>
        <v>0</v>
      </c>
      <c r="AA229" s="52">
        <f t="shared" si="68"/>
        <v>0</v>
      </c>
      <c r="AB229" s="15" t="e">
        <f t="shared" si="69"/>
        <v>#DIV/0!</v>
      </c>
      <c r="AC229" s="15" t="e">
        <f t="shared" si="78"/>
        <v>#DIV/0!</v>
      </c>
      <c r="AD229" s="15" t="e">
        <f t="shared" si="70"/>
        <v>#DIV/0!</v>
      </c>
      <c r="AE229" s="15" t="e">
        <f t="shared" si="71"/>
        <v>#DIV/0!</v>
      </c>
      <c r="AF229" s="15" t="e">
        <f t="shared" si="72"/>
        <v>#DIV/0!</v>
      </c>
      <c r="AG229" s="15" t="e">
        <f t="shared" si="73"/>
        <v>#DIV/0!</v>
      </c>
      <c r="AH229" s="53" t="e">
        <f t="shared" si="74"/>
        <v>#DIV/0!</v>
      </c>
      <c r="AI229" s="102" t="e">
        <f t="shared" si="79"/>
        <v>#DIV/0!</v>
      </c>
      <c r="AJ229" s="15"/>
      <c r="AK229" s="15" t="e">
        <f t="shared" si="63"/>
        <v>#DIV/0!</v>
      </c>
      <c r="AL229" s="15" t="e">
        <f t="shared" si="64"/>
        <v>#DIV/0!</v>
      </c>
      <c r="AM229" s="15">
        <f t="shared" si="80"/>
        <v>0</v>
      </c>
      <c r="AN229" s="15" t="e">
        <f t="shared" si="81"/>
        <v>#DIV/0!</v>
      </c>
    </row>
    <row r="230" spans="18:40" ht="13.8" x14ac:dyDescent="0.3">
      <c r="R230" s="51">
        <v>109</v>
      </c>
      <c r="S230" s="38">
        <f t="shared" si="75"/>
        <v>218</v>
      </c>
      <c r="T230" s="52">
        <f t="shared" si="65"/>
        <v>3.8048177693476384</v>
      </c>
      <c r="U230" s="52">
        <f t="shared" si="82"/>
        <v>0.94551857559931685</v>
      </c>
      <c r="V230" s="52">
        <f t="shared" si="83"/>
        <v>-0.61566147532565818</v>
      </c>
      <c r="W230" s="52">
        <f t="shared" si="76"/>
        <v>-0.32556815445715664</v>
      </c>
      <c r="X230" s="52">
        <f t="shared" si="77"/>
        <v>0</v>
      </c>
      <c r="Y230" s="15">
        <f t="shared" si="66"/>
        <v>0</v>
      </c>
      <c r="Z230" s="52">
        <f t="shared" si="67"/>
        <v>0</v>
      </c>
      <c r="AA230" s="52">
        <f t="shared" si="68"/>
        <v>0</v>
      </c>
      <c r="AB230" s="15" t="e">
        <f t="shared" si="69"/>
        <v>#DIV/0!</v>
      </c>
      <c r="AC230" s="15" t="e">
        <f t="shared" si="78"/>
        <v>#DIV/0!</v>
      </c>
      <c r="AD230" s="15" t="e">
        <f t="shared" si="70"/>
        <v>#DIV/0!</v>
      </c>
      <c r="AE230" s="15" t="e">
        <f t="shared" si="71"/>
        <v>#DIV/0!</v>
      </c>
      <c r="AF230" s="15" t="e">
        <f t="shared" si="72"/>
        <v>#DIV/0!</v>
      </c>
      <c r="AG230" s="15" t="e">
        <f t="shared" si="73"/>
        <v>#DIV/0!</v>
      </c>
      <c r="AH230" s="53" t="e">
        <f t="shared" si="74"/>
        <v>#DIV/0!</v>
      </c>
      <c r="AI230" s="102" t="e">
        <f t="shared" si="79"/>
        <v>#DIV/0!</v>
      </c>
      <c r="AJ230" s="15"/>
      <c r="AK230" s="15" t="e">
        <f t="shared" ref="AK230:AK293" si="84">AH230</f>
        <v>#DIV/0!</v>
      </c>
      <c r="AL230" s="15" t="e">
        <f t="shared" ref="AL230:AL293" si="85">AB230</f>
        <v>#DIV/0!</v>
      </c>
      <c r="AM230" s="15">
        <f t="shared" si="80"/>
        <v>0</v>
      </c>
      <c r="AN230" s="15" t="e">
        <f t="shared" si="81"/>
        <v>#DIV/0!</v>
      </c>
    </row>
    <row r="231" spans="18:40" ht="13.8" x14ac:dyDescent="0.3">
      <c r="R231" s="51">
        <v>109.5</v>
      </c>
      <c r="S231" s="38">
        <f t="shared" si="75"/>
        <v>219</v>
      </c>
      <c r="T231" s="52">
        <f t="shared" si="65"/>
        <v>3.8222710618675819</v>
      </c>
      <c r="U231" s="52">
        <f t="shared" si="82"/>
        <v>0.94264149109217832</v>
      </c>
      <c r="V231" s="52">
        <f t="shared" si="83"/>
        <v>-0.62932039104983761</v>
      </c>
      <c r="W231" s="52">
        <f t="shared" si="76"/>
        <v>-0.33380685923377101</v>
      </c>
      <c r="X231" s="52">
        <f t="shared" si="77"/>
        <v>0</v>
      </c>
      <c r="Y231" s="15">
        <f t="shared" si="66"/>
        <v>0</v>
      </c>
      <c r="Z231" s="52">
        <f t="shared" si="67"/>
        <v>0</v>
      </c>
      <c r="AA231" s="52">
        <f t="shared" si="68"/>
        <v>0</v>
      </c>
      <c r="AB231" s="15" t="e">
        <f t="shared" si="69"/>
        <v>#DIV/0!</v>
      </c>
      <c r="AC231" s="15" t="e">
        <f t="shared" si="78"/>
        <v>#DIV/0!</v>
      </c>
      <c r="AD231" s="15" t="e">
        <f t="shared" si="70"/>
        <v>#DIV/0!</v>
      </c>
      <c r="AE231" s="15" t="e">
        <f t="shared" si="71"/>
        <v>#DIV/0!</v>
      </c>
      <c r="AF231" s="15" t="e">
        <f t="shared" si="72"/>
        <v>#DIV/0!</v>
      </c>
      <c r="AG231" s="15" t="e">
        <f t="shared" si="73"/>
        <v>#DIV/0!</v>
      </c>
      <c r="AH231" s="53" t="e">
        <f t="shared" si="74"/>
        <v>#DIV/0!</v>
      </c>
      <c r="AI231" s="102" t="e">
        <f t="shared" si="79"/>
        <v>#DIV/0!</v>
      </c>
      <c r="AJ231" s="15"/>
      <c r="AK231" s="15" t="e">
        <f t="shared" si="84"/>
        <v>#DIV/0!</v>
      </c>
      <c r="AL231" s="15" t="e">
        <f t="shared" si="85"/>
        <v>#DIV/0!</v>
      </c>
      <c r="AM231" s="15">
        <f t="shared" si="80"/>
        <v>0</v>
      </c>
      <c r="AN231" s="15" t="e">
        <f t="shared" si="81"/>
        <v>#DIV/0!</v>
      </c>
    </row>
    <row r="232" spans="18:40" ht="13.8" x14ac:dyDescent="0.3">
      <c r="R232" s="51">
        <v>110</v>
      </c>
      <c r="S232" s="38">
        <f t="shared" si="75"/>
        <v>220</v>
      </c>
      <c r="T232" s="52">
        <f t="shared" si="65"/>
        <v>3.839724354387525</v>
      </c>
      <c r="U232" s="52">
        <f t="shared" si="82"/>
        <v>0.93969262078590843</v>
      </c>
      <c r="V232" s="52">
        <f t="shared" si="83"/>
        <v>-0.64278760968653925</v>
      </c>
      <c r="W232" s="52">
        <f t="shared" si="76"/>
        <v>-0.34202014332566871</v>
      </c>
      <c r="X232" s="52">
        <f t="shared" si="77"/>
        <v>0</v>
      </c>
      <c r="Y232" s="15">
        <f t="shared" si="66"/>
        <v>0</v>
      </c>
      <c r="Z232" s="52">
        <f t="shared" si="67"/>
        <v>0</v>
      </c>
      <c r="AA232" s="52">
        <f t="shared" si="68"/>
        <v>0</v>
      </c>
      <c r="AB232" s="15" t="e">
        <f t="shared" si="69"/>
        <v>#DIV/0!</v>
      </c>
      <c r="AC232" s="15" t="e">
        <f t="shared" si="78"/>
        <v>#DIV/0!</v>
      </c>
      <c r="AD232" s="15" t="e">
        <f t="shared" si="70"/>
        <v>#DIV/0!</v>
      </c>
      <c r="AE232" s="15" t="e">
        <f t="shared" si="71"/>
        <v>#DIV/0!</v>
      </c>
      <c r="AF232" s="15" t="e">
        <f t="shared" si="72"/>
        <v>#DIV/0!</v>
      </c>
      <c r="AG232" s="15" t="e">
        <f t="shared" si="73"/>
        <v>#DIV/0!</v>
      </c>
      <c r="AH232" s="53" t="e">
        <f t="shared" si="74"/>
        <v>#DIV/0!</v>
      </c>
      <c r="AI232" s="102" t="e">
        <f t="shared" si="79"/>
        <v>#DIV/0!</v>
      </c>
      <c r="AJ232" s="15"/>
      <c r="AK232" s="15" t="e">
        <f t="shared" si="84"/>
        <v>#DIV/0!</v>
      </c>
      <c r="AL232" s="15" t="e">
        <f t="shared" si="85"/>
        <v>#DIV/0!</v>
      </c>
      <c r="AM232" s="15">
        <f t="shared" si="80"/>
        <v>0</v>
      </c>
      <c r="AN232" s="15" t="e">
        <f t="shared" si="81"/>
        <v>#DIV/0!</v>
      </c>
    </row>
    <row r="233" spans="18:40" ht="13.8" x14ac:dyDescent="0.3">
      <c r="R233" s="51">
        <v>110.5</v>
      </c>
      <c r="S233" s="38">
        <f t="shared" si="75"/>
        <v>221</v>
      </c>
      <c r="T233" s="52">
        <f t="shared" si="65"/>
        <v>3.8571776469074681</v>
      </c>
      <c r="U233" s="52">
        <f t="shared" si="82"/>
        <v>0.93667218924839768</v>
      </c>
      <c r="V233" s="52">
        <f t="shared" si="83"/>
        <v>-0.65605902899050705</v>
      </c>
      <c r="W233" s="52">
        <f t="shared" si="76"/>
        <v>-0.35020738125946732</v>
      </c>
      <c r="X233" s="52">
        <f t="shared" si="77"/>
        <v>0</v>
      </c>
      <c r="Y233" s="15">
        <f t="shared" si="66"/>
        <v>0</v>
      </c>
      <c r="Z233" s="52">
        <f t="shared" si="67"/>
        <v>0</v>
      </c>
      <c r="AA233" s="52">
        <f t="shared" si="68"/>
        <v>0</v>
      </c>
      <c r="AB233" s="15" t="e">
        <f t="shared" si="69"/>
        <v>#DIV/0!</v>
      </c>
      <c r="AC233" s="15" t="e">
        <f t="shared" si="78"/>
        <v>#DIV/0!</v>
      </c>
      <c r="AD233" s="15" t="e">
        <f t="shared" si="70"/>
        <v>#DIV/0!</v>
      </c>
      <c r="AE233" s="15" t="e">
        <f t="shared" si="71"/>
        <v>#DIV/0!</v>
      </c>
      <c r="AF233" s="15" t="e">
        <f t="shared" si="72"/>
        <v>#DIV/0!</v>
      </c>
      <c r="AG233" s="15" t="e">
        <f t="shared" si="73"/>
        <v>#DIV/0!</v>
      </c>
      <c r="AH233" s="53" t="e">
        <f t="shared" si="74"/>
        <v>#DIV/0!</v>
      </c>
      <c r="AI233" s="102" t="e">
        <f t="shared" si="79"/>
        <v>#DIV/0!</v>
      </c>
      <c r="AJ233" s="15"/>
      <c r="AK233" s="15" t="e">
        <f t="shared" si="84"/>
        <v>#DIV/0!</v>
      </c>
      <c r="AL233" s="15" t="e">
        <f t="shared" si="85"/>
        <v>#DIV/0!</v>
      </c>
      <c r="AM233" s="15">
        <f t="shared" si="80"/>
        <v>0</v>
      </c>
      <c r="AN233" s="15" t="e">
        <f t="shared" si="81"/>
        <v>#DIV/0!</v>
      </c>
    </row>
    <row r="234" spans="18:40" ht="13.8" x14ac:dyDescent="0.3">
      <c r="R234" s="51">
        <v>111</v>
      </c>
      <c r="S234" s="38">
        <f t="shared" si="75"/>
        <v>222</v>
      </c>
      <c r="T234" s="52">
        <f t="shared" si="65"/>
        <v>3.8746309394274117</v>
      </c>
      <c r="U234" s="52">
        <f t="shared" si="82"/>
        <v>0.93358042649720174</v>
      </c>
      <c r="V234" s="52">
        <f t="shared" si="83"/>
        <v>-0.66913060635885824</v>
      </c>
      <c r="W234" s="52">
        <f t="shared" si="76"/>
        <v>-0.35836794954530027</v>
      </c>
      <c r="X234" s="52">
        <f t="shared" si="77"/>
        <v>0</v>
      </c>
      <c r="Y234" s="15">
        <f t="shared" si="66"/>
        <v>0</v>
      </c>
      <c r="Z234" s="52">
        <f t="shared" si="67"/>
        <v>0</v>
      </c>
      <c r="AA234" s="52">
        <f t="shared" si="68"/>
        <v>0</v>
      </c>
      <c r="AB234" s="15" t="e">
        <f t="shared" si="69"/>
        <v>#DIV/0!</v>
      </c>
      <c r="AC234" s="15" t="e">
        <f t="shared" si="78"/>
        <v>#DIV/0!</v>
      </c>
      <c r="AD234" s="15" t="e">
        <f t="shared" si="70"/>
        <v>#DIV/0!</v>
      </c>
      <c r="AE234" s="15" t="e">
        <f t="shared" si="71"/>
        <v>#DIV/0!</v>
      </c>
      <c r="AF234" s="15" t="e">
        <f t="shared" si="72"/>
        <v>#DIV/0!</v>
      </c>
      <c r="AG234" s="15" t="e">
        <f t="shared" si="73"/>
        <v>#DIV/0!</v>
      </c>
      <c r="AH234" s="53" t="e">
        <f t="shared" si="74"/>
        <v>#DIV/0!</v>
      </c>
      <c r="AI234" s="102" t="e">
        <f t="shared" si="79"/>
        <v>#DIV/0!</v>
      </c>
      <c r="AJ234" s="15"/>
      <c r="AK234" s="15" t="e">
        <f t="shared" si="84"/>
        <v>#DIV/0!</v>
      </c>
      <c r="AL234" s="15" t="e">
        <f t="shared" si="85"/>
        <v>#DIV/0!</v>
      </c>
      <c r="AM234" s="15">
        <f t="shared" si="80"/>
        <v>0</v>
      </c>
      <c r="AN234" s="15" t="e">
        <f t="shared" si="81"/>
        <v>#DIV/0!</v>
      </c>
    </row>
    <row r="235" spans="18:40" ht="13.8" x14ac:dyDescent="0.3">
      <c r="R235" s="51">
        <v>111.5</v>
      </c>
      <c r="S235" s="38">
        <f t="shared" si="75"/>
        <v>223</v>
      </c>
      <c r="T235" s="52">
        <f t="shared" si="65"/>
        <v>3.8920842319473548</v>
      </c>
      <c r="U235" s="52">
        <f t="shared" si="82"/>
        <v>0.93041756798202457</v>
      </c>
      <c r="V235" s="52">
        <f t="shared" si="83"/>
        <v>-0.68199836006249837</v>
      </c>
      <c r="W235" s="52">
        <f t="shared" si="76"/>
        <v>-0.36650122672429719</v>
      </c>
      <c r="X235" s="52">
        <f t="shared" si="77"/>
        <v>0</v>
      </c>
      <c r="Y235" s="15">
        <f t="shared" si="66"/>
        <v>0</v>
      </c>
      <c r="Z235" s="52">
        <f t="shared" si="67"/>
        <v>0</v>
      </c>
      <c r="AA235" s="52">
        <f t="shared" si="68"/>
        <v>0</v>
      </c>
      <c r="AB235" s="15" t="e">
        <f t="shared" si="69"/>
        <v>#DIV/0!</v>
      </c>
      <c r="AC235" s="15" t="e">
        <f t="shared" si="78"/>
        <v>#DIV/0!</v>
      </c>
      <c r="AD235" s="15" t="e">
        <f t="shared" si="70"/>
        <v>#DIV/0!</v>
      </c>
      <c r="AE235" s="15" t="e">
        <f t="shared" si="71"/>
        <v>#DIV/0!</v>
      </c>
      <c r="AF235" s="15" t="e">
        <f t="shared" si="72"/>
        <v>#DIV/0!</v>
      </c>
      <c r="AG235" s="15" t="e">
        <f t="shared" si="73"/>
        <v>#DIV/0!</v>
      </c>
      <c r="AH235" s="53" t="e">
        <f t="shared" si="74"/>
        <v>#DIV/0!</v>
      </c>
      <c r="AI235" s="102" t="e">
        <f t="shared" si="79"/>
        <v>#DIV/0!</v>
      </c>
      <c r="AJ235" s="15"/>
      <c r="AK235" s="15" t="e">
        <f t="shared" si="84"/>
        <v>#DIV/0!</v>
      </c>
      <c r="AL235" s="15" t="e">
        <f t="shared" si="85"/>
        <v>#DIV/0!</v>
      </c>
      <c r="AM235" s="15">
        <f t="shared" si="80"/>
        <v>0</v>
      </c>
      <c r="AN235" s="15" t="e">
        <f t="shared" si="81"/>
        <v>#DIV/0!</v>
      </c>
    </row>
    <row r="236" spans="18:40" ht="13.8" x14ac:dyDescent="0.3">
      <c r="R236" s="51">
        <v>112</v>
      </c>
      <c r="S236" s="38">
        <f t="shared" si="75"/>
        <v>224</v>
      </c>
      <c r="T236" s="52">
        <f t="shared" si="65"/>
        <v>3.9095375244672983</v>
      </c>
      <c r="U236" s="52">
        <f t="shared" si="82"/>
        <v>0.92718385456678742</v>
      </c>
      <c r="V236" s="52">
        <f t="shared" si="83"/>
        <v>-0.69465837045899737</v>
      </c>
      <c r="W236" s="52">
        <f t="shared" si="76"/>
        <v>-0.37460659341591207</v>
      </c>
      <c r="X236" s="52">
        <f t="shared" si="77"/>
        <v>0</v>
      </c>
      <c r="Y236" s="15">
        <f t="shared" si="66"/>
        <v>0</v>
      </c>
      <c r="Z236" s="52">
        <f t="shared" si="67"/>
        <v>0</v>
      </c>
      <c r="AA236" s="52">
        <f t="shared" si="68"/>
        <v>0</v>
      </c>
      <c r="AB236" s="15" t="e">
        <f t="shared" si="69"/>
        <v>#DIV/0!</v>
      </c>
      <c r="AC236" s="15" t="e">
        <f t="shared" si="78"/>
        <v>#DIV/0!</v>
      </c>
      <c r="AD236" s="15" t="e">
        <f t="shared" si="70"/>
        <v>#DIV/0!</v>
      </c>
      <c r="AE236" s="15" t="e">
        <f t="shared" si="71"/>
        <v>#DIV/0!</v>
      </c>
      <c r="AF236" s="15" t="e">
        <f t="shared" si="72"/>
        <v>#DIV/0!</v>
      </c>
      <c r="AG236" s="15" t="e">
        <f t="shared" si="73"/>
        <v>#DIV/0!</v>
      </c>
      <c r="AH236" s="53" t="e">
        <f t="shared" si="74"/>
        <v>#DIV/0!</v>
      </c>
      <c r="AI236" s="102" t="e">
        <f t="shared" si="79"/>
        <v>#DIV/0!</v>
      </c>
      <c r="AJ236" s="15"/>
      <c r="AK236" s="15" t="e">
        <f t="shared" si="84"/>
        <v>#DIV/0!</v>
      </c>
      <c r="AL236" s="15" t="e">
        <f t="shared" si="85"/>
        <v>#DIV/0!</v>
      </c>
      <c r="AM236" s="15">
        <f t="shared" si="80"/>
        <v>0</v>
      </c>
      <c r="AN236" s="15" t="e">
        <f t="shared" si="81"/>
        <v>#DIV/0!</v>
      </c>
    </row>
    <row r="237" spans="18:40" ht="13.8" x14ac:dyDescent="0.3">
      <c r="R237" s="51">
        <v>112.5</v>
      </c>
      <c r="S237" s="38">
        <f t="shared" si="75"/>
        <v>225</v>
      </c>
      <c r="T237" s="52">
        <f t="shared" si="65"/>
        <v>3.9269908169872414</v>
      </c>
      <c r="U237" s="52">
        <f t="shared" si="82"/>
        <v>0.92387953251128674</v>
      </c>
      <c r="V237" s="52">
        <f t="shared" si="83"/>
        <v>-0.70710678118654746</v>
      </c>
      <c r="W237" s="52">
        <f t="shared" si="76"/>
        <v>-0.38268343236508973</v>
      </c>
      <c r="X237" s="52">
        <f t="shared" si="77"/>
        <v>0</v>
      </c>
      <c r="Y237" s="15">
        <f t="shared" si="66"/>
        <v>0</v>
      </c>
      <c r="Z237" s="52">
        <f t="shared" si="67"/>
        <v>0</v>
      </c>
      <c r="AA237" s="52">
        <f t="shared" si="68"/>
        <v>0</v>
      </c>
      <c r="AB237" s="15" t="e">
        <f t="shared" si="69"/>
        <v>#DIV/0!</v>
      </c>
      <c r="AC237" s="15" t="e">
        <f t="shared" si="78"/>
        <v>#DIV/0!</v>
      </c>
      <c r="AD237" s="15" t="e">
        <f t="shared" si="70"/>
        <v>#DIV/0!</v>
      </c>
      <c r="AE237" s="15" t="e">
        <f t="shared" si="71"/>
        <v>#DIV/0!</v>
      </c>
      <c r="AF237" s="15" t="e">
        <f t="shared" si="72"/>
        <v>#DIV/0!</v>
      </c>
      <c r="AG237" s="15" t="e">
        <f t="shared" si="73"/>
        <v>#DIV/0!</v>
      </c>
      <c r="AH237" s="53" t="e">
        <f t="shared" si="74"/>
        <v>#DIV/0!</v>
      </c>
      <c r="AI237" s="102" t="e">
        <f t="shared" si="79"/>
        <v>#DIV/0!</v>
      </c>
      <c r="AJ237" s="15"/>
      <c r="AK237" s="15" t="e">
        <f t="shared" si="84"/>
        <v>#DIV/0!</v>
      </c>
      <c r="AL237" s="15" t="e">
        <f t="shared" si="85"/>
        <v>#DIV/0!</v>
      </c>
      <c r="AM237" s="15">
        <f t="shared" si="80"/>
        <v>0</v>
      </c>
      <c r="AN237" s="15" t="e">
        <f t="shared" si="81"/>
        <v>#DIV/0!</v>
      </c>
    </row>
    <row r="238" spans="18:40" ht="13.8" x14ac:dyDescent="0.3">
      <c r="R238" s="51">
        <v>113</v>
      </c>
      <c r="S238" s="38">
        <f t="shared" si="75"/>
        <v>226</v>
      </c>
      <c r="T238" s="52">
        <f t="shared" si="65"/>
        <v>3.9444441095071849</v>
      </c>
      <c r="U238" s="52">
        <f t="shared" si="82"/>
        <v>0.92050485345244026</v>
      </c>
      <c r="V238" s="52">
        <f t="shared" si="83"/>
        <v>-0.71933980033865119</v>
      </c>
      <c r="W238" s="52">
        <f t="shared" si="76"/>
        <v>-0.39073112848927377</v>
      </c>
      <c r="X238" s="52">
        <f t="shared" si="77"/>
        <v>0</v>
      </c>
      <c r="Y238" s="15">
        <f t="shared" si="66"/>
        <v>0</v>
      </c>
      <c r="Z238" s="52">
        <f t="shared" si="67"/>
        <v>0</v>
      </c>
      <c r="AA238" s="52">
        <f t="shared" si="68"/>
        <v>0</v>
      </c>
      <c r="AB238" s="15" t="e">
        <f t="shared" si="69"/>
        <v>#DIV/0!</v>
      </c>
      <c r="AC238" s="15" t="e">
        <f t="shared" si="78"/>
        <v>#DIV/0!</v>
      </c>
      <c r="AD238" s="15" t="e">
        <f t="shared" si="70"/>
        <v>#DIV/0!</v>
      </c>
      <c r="AE238" s="15" t="e">
        <f t="shared" si="71"/>
        <v>#DIV/0!</v>
      </c>
      <c r="AF238" s="15" t="e">
        <f t="shared" si="72"/>
        <v>#DIV/0!</v>
      </c>
      <c r="AG238" s="15" t="e">
        <f t="shared" si="73"/>
        <v>#DIV/0!</v>
      </c>
      <c r="AH238" s="53" t="e">
        <f t="shared" si="74"/>
        <v>#DIV/0!</v>
      </c>
      <c r="AI238" s="102" t="e">
        <f t="shared" si="79"/>
        <v>#DIV/0!</v>
      </c>
      <c r="AJ238" s="15"/>
      <c r="AK238" s="15" t="e">
        <f t="shared" si="84"/>
        <v>#DIV/0!</v>
      </c>
      <c r="AL238" s="15" t="e">
        <f t="shared" si="85"/>
        <v>#DIV/0!</v>
      </c>
      <c r="AM238" s="15">
        <f t="shared" si="80"/>
        <v>0</v>
      </c>
      <c r="AN238" s="15" t="e">
        <f t="shared" si="81"/>
        <v>#DIV/0!</v>
      </c>
    </row>
    <row r="239" spans="18:40" ht="13.8" x14ac:dyDescent="0.3">
      <c r="R239" s="51">
        <v>113.5</v>
      </c>
      <c r="S239" s="38">
        <f t="shared" si="75"/>
        <v>227</v>
      </c>
      <c r="T239" s="52">
        <f t="shared" si="65"/>
        <v>3.961897402027128</v>
      </c>
      <c r="U239" s="52">
        <f t="shared" si="82"/>
        <v>0.91706007438512405</v>
      </c>
      <c r="V239" s="52">
        <f t="shared" si="83"/>
        <v>-0.73135370161917046</v>
      </c>
      <c r="W239" s="52">
        <f t="shared" si="76"/>
        <v>-0.39874906892524614</v>
      </c>
      <c r="X239" s="52">
        <f t="shared" si="77"/>
        <v>0</v>
      </c>
      <c r="Y239" s="15">
        <f t="shared" si="66"/>
        <v>0</v>
      </c>
      <c r="Z239" s="52">
        <f t="shared" si="67"/>
        <v>0</v>
      </c>
      <c r="AA239" s="52">
        <f t="shared" si="68"/>
        <v>0</v>
      </c>
      <c r="AB239" s="15" t="e">
        <f t="shared" si="69"/>
        <v>#DIV/0!</v>
      </c>
      <c r="AC239" s="15" t="e">
        <f t="shared" si="78"/>
        <v>#DIV/0!</v>
      </c>
      <c r="AD239" s="15" t="e">
        <f t="shared" si="70"/>
        <v>#DIV/0!</v>
      </c>
      <c r="AE239" s="15" t="e">
        <f t="shared" si="71"/>
        <v>#DIV/0!</v>
      </c>
      <c r="AF239" s="15" t="e">
        <f t="shared" si="72"/>
        <v>#DIV/0!</v>
      </c>
      <c r="AG239" s="15" t="e">
        <f t="shared" si="73"/>
        <v>#DIV/0!</v>
      </c>
      <c r="AH239" s="53" t="e">
        <f t="shared" si="74"/>
        <v>#DIV/0!</v>
      </c>
      <c r="AI239" s="102" t="e">
        <f t="shared" si="79"/>
        <v>#DIV/0!</v>
      </c>
      <c r="AJ239" s="15"/>
      <c r="AK239" s="15" t="e">
        <f t="shared" si="84"/>
        <v>#DIV/0!</v>
      </c>
      <c r="AL239" s="15" t="e">
        <f t="shared" si="85"/>
        <v>#DIV/0!</v>
      </c>
      <c r="AM239" s="15">
        <f t="shared" si="80"/>
        <v>0</v>
      </c>
      <c r="AN239" s="15" t="e">
        <f t="shared" si="81"/>
        <v>#DIV/0!</v>
      </c>
    </row>
    <row r="240" spans="18:40" ht="13.8" x14ac:dyDescent="0.3">
      <c r="R240" s="51">
        <v>114</v>
      </c>
      <c r="S240" s="38">
        <f t="shared" si="75"/>
        <v>228</v>
      </c>
      <c r="T240" s="52">
        <f t="shared" si="65"/>
        <v>3.9793506945470716</v>
      </c>
      <c r="U240" s="52">
        <f t="shared" si="82"/>
        <v>0.91354545764260087</v>
      </c>
      <c r="V240" s="52">
        <f t="shared" si="83"/>
        <v>-0.74314482547739436</v>
      </c>
      <c r="W240" s="52">
        <f t="shared" si="76"/>
        <v>-0.40673664307580026</v>
      </c>
      <c r="X240" s="52">
        <f t="shared" si="77"/>
        <v>0</v>
      </c>
      <c r="Y240" s="15">
        <f t="shared" si="66"/>
        <v>0</v>
      </c>
      <c r="Z240" s="52">
        <f t="shared" si="67"/>
        <v>0</v>
      </c>
      <c r="AA240" s="52">
        <f t="shared" si="68"/>
        <v>0</v>
      </c>
      <c r="AB240" s="15" t="e">
        <f t="shared" si="69"/>
        <v>#DIV/0!</v>
      </c>
      <c r="AC240" s="15" t="e">
        <f t="shared" si="78"/>
        <v>#DIV/0!</v>
      </c>
      <c r="AD240" s="15" t="e">
        <f t="shared" si="70"/>
        <v>#DIV/0!</v>
      </c>
      <c r="AE240" s="15" t="e">
        <f t="shared" si="71"/>
        <v>#DIV/0!</v>
      </c>
      <c r="AF240" s="15" t="e">
        <f t="shared" si="72"/>
        <v>#DIV/0!</v>
      </c>
      <c r="AG240" s="15" t="e">
        <f t="shared" si="73"/>
        <v>#DIV/0!</v>
      </c>
      <c r="AH240" s="53" t="e">
        <f t="shared" si="74"/>
        <v>#DIV/0!</v>
      </c>
      <c r="AI240" s="102" t="e">
        <f t="shared" si="79"/>
        <v>#DIV/0!</v>
      </c>
      <c r="AJ240" s="15"/>
      <c r="AK240" s="15" t="e">
        <f t="shared" si="84"/>
        <v>#DIV/0!</v>
      </c>
      <c r="AL240" s="15" t="e">
        <f t="shared" si="85"/>
        <v>#DIV/0!</v>
      </c>
      <c r="AM240" s="15">
        <f t="shared" si="80"/>
        <v>0</v>
      </c>
      <c r="AN240" s="15" t="e">
        <f t="shared" si="81"/>
        <v>#DIV/0!</v>
      </c>
    </row>
    <row r="241" spans="18:40" ht="13.8" x14ac:dyDescent="0.3">
      <c r="R241" s="51">
        <v>114.5</v>
      </c>
      <c r="S241" s="38">
        <f t="shared" si="75"/>
        <v>229</v>
      </c>
      <c r="T241" s="52">
        <f t="shared" si="65"/>
        <v>3.9968039870670147</v>
      </c>
      <c r="U241" s="52">
        <f t="shared" si="82"/>
        <v>0.90996127087654322</v>
      </c>
      <c r="V241" s="52">
        <f t="shared" si="83"/>
        <v>-0.75470958022277201</v>
      </c>
      <c r="W241" s="52">
        <f t="shared" si="76"/>
        <v>-0.41469324265623903</v>
      </c>
      <c r="X241" s="52">
        <f t="shared" si="77"/>
        <v>0</v>
      </c>
      <c r="Y241" s="15">
        <f t="shared" si="66"/>
        <v>0</v>
      </c>
      <c r="Z241" s="52">
        <f t="shared" si="67"/>
        <v>0</v>
      </c>
      <c r="AA241" s="52">
        <f t="shared" si="68"/>
        <v>0</v>
      </c>
      <c r="AB241" s="15" t="e">
        <f t="shared" si="69"/>
        <v>#DIV/0!</v>
      </c>
      <c r="AC241" s="15" t="e">
        <f t="shared" si="78"/>
        <v>#DIV/0!</v>
      </c>
      <c r="AD241" s="15" t="e">
        <f t="shared" si="70"/>
        <v>#DIV/0!</v>
      </c>
      <c r="AE241" s="15" t="e">
        <f t="shared" si="71"/>
        <v>#DIV/0!</v>
      </c>
      <c r="AF241" s="15" t="e">
        <f t="shared" si="72"/>
        <v>#DIV/0!</v>
      </c>
      <c r="AG241" s="15" t="e">
        <f t="shared" si="73"/>
        <v>#DIV/0!</v>
      </c>
      <c r="AH241" s="53" t="e">
        <f t="shared" si="74"/>
        <v>#DIV/0!</v>
      </c>
      <c r="AI241" s="102" t="e">
        <f t="shared" si="79"/>
        <v>#DIV/0!</v>
      </c>
      <c r="AJ241" s="15"/>
      <c r="AK241" s="15" t="e">
        <f t="shared" si="84"/>
        <v>#DIV/0!</v>
      </c>
      <c r="AL241" s="15" t="e">
        <f t="shared" si="85"/>
        <v>#DIV/0!</v>
      </c>
      <c r="AM241" s="15">
        <f t="shared" si="80"/>
        <v>0</v>
      </c>
      <c r="AN241" s="15" t="e">
        <f t="shared" si="81"/>
        <v>#DIV/0!</v>
      </c>
    </row>
    <row r="242" spans="18:40" ht="13.8" x14ac:dyDescent="0.3">
      <c r="R242" s="51">
        <v>115</v>
      </c>
      <c r="S242" s="38">
        <f t="shared" si="75"/>
        <v>230</v>
      </c>
      <c r="T242" s="52">
        <f t="shared" si="65"/>
        <v>4.0142572795869578</v>
      </c>
      <c r="U242" s="52">
        <f t="shared" si="82"/>
        <v>0.90630778703665005</v>
      </c>
      <c r="V242" s="52">
        <f t="shared" si="83"/>
        <v>-0.7660444431189779</v>
      </c>
      <c r="W242" s="52">
        <f t="shared" si="76"/>
        <v>-0.42261826174069933</v>
      </c>
      <c r="X242" s="52">
        <f t="shared" si="77"/>
        <v>0</v>
      </c>
      <c r="Y242" s="15">
        <f t="shared" si="66"/>
        <v>0</v>
      </c>
      <c r="Z242" s="52">
        <f t="shared" si="67"/>
        <v>0</v>
      </c>
      <c r="AA242" s="52">
        <f t="shared" si="68"/>
        <v>0</v>
      </c>
      <c r="AB242" s="15" t="e">
        <f t="shared" si="69"/>
        <v>#DIV/0!</v>
      </c>
      <c r="AC242" s="15" t="e">
        <f t="shared" si="78"/>
        <v>#DIV/0!</v>
      </c>
      <c r="AD242" s="15" t="e">
        <f t="shared" si="70"/>
        <v>#DIV/0!</v>
      </c>
      <c r="AE242" s="15" t="e">
        <f t="shared" si="71"/>
        <v>#DIV/0!</v>
      </c>
      <c r="AF242" s="15" t="e">
        <f t="shared" si="72"/>
        <v>#DIV/0!</v>
      </c>
      <c r="AG242" s="15" t="e">
        <f t="shared" si="73"/>
        <v>#DIV/0!</v>
      </c>
      <c r="AH242" s="53" t="e">
        <f t="shared" si="74"/>
        <v>#DIV/0!</v>
      </c>
      <c r="AI242" s="102" t="e">
        <f t="shared" si="79"/>
        <v>#DIV/0!</v>
      </c>
      <c r="AJ242" s="15"/>
      <c r="AK242" s="15" t="e">
        <f t="shared" si="84"/>
        <v>#DIV/0!</v>
      </c>
      <c r="AL242" s="15" t="e">
        <f t="shared" si="85"/>
        <v>#DIV/0!</v>
      </c>
      <c r="AM242" s="15">
        <f t="shared" si="80"/>
        <v>0</v>
      </c>
      <c r="AN242" s="15" t="e">
        <f t="shared" si="81"/>
        <v>#DIV/0!</v>
      </c>
    </row>
    <row r="243" spans="18:40" ht="13.8" x14ac:dyDescent="0.3">
      <c r="R243" s="51">
        <v>115.5</v>
      </c>
      <c r="S243" s="38">
        <f t="shared" si="75"/>
        <v>231</v>
      </c>
      <c r="T243" s="52">
        <f t="shared" si="65"/>
        <v>4.0317105721069009</v>
      </c>
      <c r="U243" s="52">
        <f t="shared" si="82"/>
        <v>0.90258528434986074</v>
      </c>
      <c r="V243" s="52">
        <f t="shared" si="83"/>
        <v>-0.77714596145697057</v>
      </c>
      <c r="W243" s="52">
        <f t="shared" si="76"/>
        <v>-0.43051109680829491</v>
      </c>
      <c r="X243" s="52">
        <f t="shared" si="77"/>
        <v>0</v>
      </c>
      <c r="Y243" s="15">
        <f t="shared" si="66"/>
        <v>0</v>
      </c>
      <c r="Z243" s="52">
        <f t="shared" si="67"/>
        <v>0</v>
      </c>
      <c r="AA243" s="52">
        <f t="shared" si="68"/>
        <v>0</v>
      </c>
      <c r="AB243" s="15" t="e">
        <f t="shared" si="69"/>
        <v>#DIV/0!</v>
      </c>
      <c r="AC243" s="15" t="e">
        <f t="shared" si="78"/>
        <v>#DIV/0!</v>
      </c>
      <c r="AD243" s="15" t="e">
        <f t="shared" si="70"/>
        <v>#DIV/0!</v>
      </c>
      <c r="AE243" s="15" t="e">
        <f t="shared" si="71"/>
        <v>#DIV/0!</v>
      </c>
      <c r="AF243" s="15" t="e">
        <f t="shared" si="72"/>
        <v>#DIV/0!</v>
      </c>
      <c r="AG243" s="15" t="e">
        <f t="shared" si="73"/>
        <v>#DIV/0!</v>
      </c>
      <c r="AH243" s="53" t="e">
        <f t="shared" si="74"/>
        <v>#DIV/0!</v>
      </c>
      <c r="AI243" s="102" t="e">
        <f t="shared" si="79"/>
        <v>#DIV/0!</v>
      </c>
      <c r="AJ243" s="15"/>
      <c r="AK243" s="15" t="e">
        <f t="shared" si="84"/>
        <v>#DIV/0!</v>
      </c>
      <c r="AL243" s="15" t="e">
        <f t="shared" si="85"/>
        <v>#DIV/0!</v>
      </c>
      <c r="AM243" s="15">
        <f t="shared" si="80"/>
        <v>0</v>
      </c>
      <c r="AN243" s="15" t="e">
        <f t="shared" si="81"/>
        <v>#DIV/0!</v>
      </c>
    </row>
    <row r="244" spans="18:40" ht="13.8" x14ac:dyDescent="0.3">
      <c r="R244" s="51">
        <v>116</v>
      </c>
      <c r="S244" s="38">
        <f t="shared" si="75"/>
        <v>232</v>
      </c>
      <c r="T244" s="52">
        <f t="shared" si="65"/>
        <v>4.0491638646268449</v>
      </c>
      <c r="U244" s="52">
        <f t="shared" si="82"/>
        <v>0.89879404629916693</v>
      </c>
      <c r="V244" s="52">
        <f t="shared" si="83"/>
        <v>-0.78801075360672213</v>
      </c>
      <c r="W244" s="52">
        <f t="shared" si="76"/>
        <v>-0.43837114678907751</v>
      </c>
      <c r="X244" s="52">
        <f t="shared" si="77"/>
        <v>0</v>
      </c>
      <c r="Y244" s="15">
        <f t="shared" si="66"/>
        <v>0</v>
      </c>
      <c r="Z244" s="52">
        <f t="shared" si="67"/>
        <v>0</v>
      </c>
      <c r="AA244" s="52">
        <f t="shared" si="68"/>
        <v>0</v>
      </c>
      <c r="AB244" s="15" t="e">
        <f t="shared" si="69"/>
        <v>#DIV/0!</v>
      </c>
      <c r="AC244" s="15" t="e">
        <f t="shared" si="78"/>
        <v>#DIV/0!</v>
      </c>
      <c r="AD244" s="15" t="e">
        <f t="shared" si="70"/>
        <v>#DIV/0!</v>
      </c>
      <c r="AE244" s="15" t="e">
        <f t="shared" si="71"/>
        <v>#DIV/0!</v>
      </c>
      <c r="AF244" s="15" t="e">
        <f t="shared" si="72"/>
        <v>#DIV/0!</v>
      </c>
      <c r="AG244" s="15" t="e">
        <f t="shared" si="73"/>
        <v>#DIV/0!</v>
      </c>
      <c r="AH244" s="53" t="e">
        <f t="shared" si="74"/>
        <v>#DIV/0!</v>
      </c>
      <c r="AI244" s="102" t="e">
        <f t="shared" si="79"/>
        <v>#DIV/0!</v>
      </c>
      <c r="AJ244" s="15"/>
      <c r="AK244" s="15" t="e">
        <f t="shared" si="84"/>
        <v>#DIV/0!</v>
      </c>
      <c r="AL244" s="15" t="e">
        <f t="shared" si="85"/>
        <v>#DIV/0!</v>
      </c>
      <c r="AM244" s="15">
        <f t="shared" si="80"/>
        <v>0</v>
      </c>
      <c r="AN244" s="15" t="e">
        <f t="shared" si="81"/>
        <v>#DIV/0!</v>
      </c>
    </row>
    <row r="245" spans="18:40" ht="13.8" x14ac:dyDescent="0.3">
      <c r="R245" s="51">
        <v>116.5</v>
      </c>
      <c r="S245" s="38">
        <f t="shared" si="75"/>
        <v>233</v>
      </c>
      <c r="T245" s="52">
        <f t="shared" si="65"/>
        <v>4.066617157146788</v>
      </c>
      <c r="U245" s="52">
        <f t="shared" si="82"/>
        <v>0.894934361602025</v>
      </c>
      <c r="V245" s="52">
        <f t="shared" si="83"/>
        <v>-0.79863551004729283</v>
      </c>
      <c r="W245" s="52">
        <f t="shared" si="76"/>
        <v>-0.44619781310980883</v>
      </c>
      <c r="X245" s="52">
        <f t="shared" si="77"/>
        <v>0</v>
      </c>
      <c r="Y245" s="15">
        <f t="shared" si="66"/>
        <v>0</v>
      </c>
      <c r="Z245" s="52">
        <f t="shared" si="67"/>
        <v>0</v>
      </c>
      <c r="AA245" s="52">
        <f t="shared" si="68"/>
        <v>0</v>
      </c>
      <c r="AB245" s="15" t="e">
        <f t="shared" si="69"/>
        <v>#DIV/0!</v>
      </c>
      <c r="AC245" s="15" t="e">
        <f t="shared" si="78"/>
        <v>#DIV/0!</v>
      </c>
      <c r="AD245" s="15" t="e">
        <f t="shared" si="70"/>
        <v>#DIV/0!</v>
      </c>
      <c r="AE245" s="15" t="e">
        <f t="shared" si="71"/>
        <v>#DIV/0!</v>
      </c>
      <c r="AF245" s="15" t="e">
        <f t="shared" si="72"/>
        <v>#DIV/0!</v>
      </c>
      <c r="AG245" s="15" t="e">
        <f t="shared" si="73"/>
        <v>#DIV/0!</v>
      </c>
      <c r="AH245" s="53" t="e">
        <f t="shared" si="74"/>
        <v>#DIV/0!</v>
      </c>
      <c r="AI245" s="102" t="e">
        <f t="shared" si="79"/>
        <v>#DIV/0!</v>
      </c>
      <c r="AJ245" s="15"/>
      <c r="AK245" s="15" t="e">
        <f t="shared" si="84"/>
        <v>#DIV/0!</v>
      </c>
      <c r="AL245" s="15" t="e">
        <f t="shared" si="85"/>
        <v>#DIV/0!</v>
      </c>
      <c r="AM245" s="15">
        <f t="shared" si="80"/>
        <v>0</v>
      </c>
      <c r="AN245" s="15" t="e">
        <f t="shared" si="81"/>
        <v>#DIV/0!</v>
      </c>
    </row>
    <row r="246" spans="18:40" ht="13.8" x14ac:dyDescent="0.3">
      <c r="R246" s="51">
        <v>117</v>
      </c>
      <c r="S246" s="38">
        <f t="shared" si="75"/>
        <v>234</v>
      </c>
      <c r="T246" s="52">
        <f t="shared" si="65"/>
        <v>4.0840704496667311</v>
      </c>
      <c r="U246" s="52">
        <f t="shared" si="82"/>
        <v>0.8910065241883679</v>
      </c>
      <c r="V246" s="52">
        <f t="shared" si="83"/>
        <v>-0.80901699437494734</v>
      </c>
      <c r="W246" s="52">
        <f t="shared" si="76"/>
        <v>-0.45399049973954669</v>
      </c>
      <c r="X246" s="52">
        <f t="shared" si="77"/>
        <v>0</v>
      </c>
      <c r="Y246" s="15">
        <f t="shared" si="66"/>
        <v>0</v>
      </c>
      <c r="Z246" s="52">
        <f t="shared" si="67"/>
        <v>0</v>
      </c>
      <c r="AA246" s="52">
        <f t="shared" si="68"/>
        <v>0</v>
      </c>
      <c r="AB246" s="15" t="e">
        <f t="shared" si="69"/>
        <v>#DIV/0!</v>
      </c>
      <c r="AC246" s="15" t="e">
        <f t="shared" si="78"/>
        <v>#DIV/0!</v>
      </c>
      <c r="AD246" s="15" t="e">
        <f t="shared" si="70"/>
        <v>#DIV/0!</v>
      </c>
      <c r="AE246" s="15" t="e">
        <f t="shared" si="71"/>
        <v>#DIV/0!</v>
      </c>
      <c r="AF246" s="15" t="e">
        <f t="shared" si="72"/>
        <v>#DIV/0!</v>
      </c>
      <c r="AG246" s="15" t="e">
        <f t="shared" si="73"/>
        <v>#DIV/0!</v>
      </c>
      <c r="AH246" s="53" t="e">
        <f t="shared" si="74"/>
        <v>#DIV/0!</v>
      </c>
      <c r="AI246" s="102" t="e">
        <f t="shared" si="79"/>
        <v>#DIV/0!</v>
      </c>
      <c r="AJ246" s="15"/>
      <c r="AK246" s="15" t="e">
        <f t="shared" si="84"/>
        <v>#DIV/0!</v>
      </c>
      <c r="AL246" s="15" t="e">
        <f t="shared" si="85"/>
        <v>#DIV/0!</v>
      </c>
      <c r="AM246" s="15">
        <f t="shared" si="80"/>
        <v>0</v>
      </c>
      <c r="AN246" s="15" t="e">
        <f t="shared" si="81"/>
        <v>#DIV/0!</v>
      </c>
    </row>
    <row r="247" spans="18:40" ht="13.8" x14ac:dyDescent="0.3">
      <c r="R247" s="51">
        <v>117.5</v>
      </c>
      <c r="S247" s="38">
        <f t="shared" si="75"/>
        <v>235</v>
      </c>
      <c r="T247" s="52">
        <f t="shared" si="65"/>
        <v>4.1015237421866741</v>
      </c>
      <c r="U247" s="52">
        <f t="shared" si="82"/>
        <v>0.88701083317822182</v>
      </c>
      <c r="V247" s="52">
        <f t="shared" si="83"/>
        <v>-0.81915204428899158</v>
      </c>
      <c r="W247" s="52">
        <f t="shared" si="76"/>
        <v>-0.46174861323503374</v>
      </c>
      <c r="X247" s="52">
        <f t="shared" si="77"/>
        <v>0</v>
      </c>
      <c r="Y247" s="15">
        <f t="shared" si="66"/>
        <v>0</v>
      </c>
      <c r="Z247" s="52">
        <f t="shared" si="67"/>
        <v>0</v>
      </c>
      <c r="AA247" s="52">
        <f t="shared" si="68"/>
        <v>0</v>
      </c>
      <c r="AB247" s="15" t="e">
        <f t="shared" si="69"/>
        <v>#DIV/0!</v>
      </c>
      <c r="AC247" s="15" t="e">
        <f t="shared" si="78"/>
        <v>#DIV/0!</v>
      </c>
      <c r="AD247" s="15" t="e">
        <f t="shared" si="70"/>
        <v>#DIV/0!</v>
      </c>
      <c r="AE247" s="15" t="e">
        <f t="shared" si="71"/>
        <v>#DIV/0!</v>
      </c>
      <c r="AF247" s="15" t="e">
        <f t="shared" si="72"/>
        <v>#DIV/0!</v>
      </c>
      <c r="AG247" s="15" t="e">
        <f t="shared" si="73"/>
        <v>#DIV/0!</v>
      </c>
      <c r="AH247" s="53" t="e">
        <f t="shared" si="74"/>
        <v>#DIV/0!</v>
      </c>
      <c r="AI247" s="102" t="e">
        <f t="shared" si="79"/>
        <v>#DIV/0!</v>
      </c>
      <c r="AJ247" s="15"/>
      <c r="AK247" s="15" t="e">
        <f t="shared" si="84"/>
        <v>#DIV/0!</v>
      </c>
      <c r="AL247" s="15" t="e">
        <f t="shared" si="85"/>
        <v>#DIV/0!</v>
      </c>
      <c r="AM247" s="15">
        <f t="shared" si="80"/>
        <v>0</v>
      </c>
      <c r="AN247" s="15" t="e">
        <f t="shared" si="81"/>
        <v>#DIV/0!</v>
      </c>
    </row>
    <row r="248" spans="18:40" ht="13.8" x14ac:dyDescent="0.3">
      <c r="R248" s="51">
        <v>118</v>
      </c>
      <c r="S248" s="38">
        <f t="shared" si="75"/>
        <v>236</v>
      </c>
      <c r="T248" s="52">
        <f t="shared" si="65"/>
        <v>4.1189770347066181</v>
      </c>
      <c r="U248" s="52">
        <f t="shared" si="82"/>
        <v>0.88294759285892688</v>
      </c>
      <c r="V248" s="52">
        <f t="shared" si="83"/>
        <v>-0.82903757255504185</v>
      </c>
      <c r="W248" s="52">
        <f t="shared" si="76"/>
        <v>-0.46947156278589092</v>
      </c>
      <c r="X248" s="52">
        <f t="shared" si="77"/>
        <v>0</v>
      </c>
      <c r="Y248" s="15">
        <f t="shared" si="66"/>
        <v>0</v>
      </c>
      <c r="Z248" s="52">
        <f t="shared" si="67"/>
        <v>0</v>
      </c>
      <c r="AA248" s="52">
        <f t="shared" si="68"/>
        <v>0</v>
      </c>
      <c r="AB248" s="15" t="e">
        <f t="shared" si="69"/>
        <v>#DIV/0!</v>
      </c>
      <c r="AC248" s="15" t="e">
        <f t="shared" si="78"/>
        <v>#DIV/0!</v>
      </c>
      <c r="AD248" s="15" t="e">
        <f t="shared" si="70"/>
        <v>#DIV/0!</v>
      </c>
      <c r="AE248" s="15" t="e">
        <f t="shared" si="71"/>
        <v>#DIV/0!</v>
      </c>
      <c r="AF248" s="15" t="e">
        <f t="shared" si="72"/>
        <v>#DIV/0!</v>
      </c>
      <c r="AG248" s="15" t="e">
        <f t="shared" si="73"/>
        <v>#DIV/0!</v>
      </c>
      <c r="AH248" s="53" t="e">
        <f t="shared" si="74"/>
        <v>#DIV/0!</v>
      </c>
      <c r="AI248" s="102" t="e">
        <f t="shared" si="79"/>
        <v>#DIV/0!</v>
      </c>
      <c r="AJ248" s="15"/>
      <c r="AK248" s="15" t="e">
        <f t="shared" si="84"/>
        <v>#DIV/0!</v>
      </c>
      <c r="AL248" s="15" t="e">
        <f t="shared" si="85"/>
        <v>#DIV/0!</v>
      </c>
      <c r="AM248" s="15">
        <f t="shared" si="80"/>
        <v>0</v>
      </c>
      <c r="AN248" s="15" t="e">
        <f t="shared" si="81"/>
        <v>#DIV/0!</v>
      </c>
    </row>
    <row r="249" spans="18:40" ht="13.8" x14ac:dyDescent="0.3">
      <c r="R249" s="51">
        <v>118.5</v>
      </c>
      <c r="S249" s="38">
        <f t="shared" si="75"/>
        <v>237</v>
      </c>
      <c r="T249" s="52">
        <f t="shared" si="65"/>
        <v>4.1364303272265612</v>
      </c>
      <c r="U249" s="52">
        <f t="shared" si="82"/>
        <v>0.87881711266196538</v>
      </c>
      <c r="V249" s="52">
        <f t="shared" si="83"/>
        <v>-0.83867056794542405</v>
      </c>
      <c r="W249" s="52">
        <f t="shared" si="76"/>
        <v>-0.47715876025960846</v>
      </c>
      <c r="X249" s="52">
        <f t="shared" si="77"/>
        <v>0</v>
      </c>
      <c r="Y249" s="15">
        <f t="shared" si="66"/>
        <v>0</v>
      </c>
      <c r="Z249" s="52">
        <f t="shared" si="67"/>
        <v>0</v>
      </c>
      <c r="AA249" s="52">
        <f t="shared" si="68"/>
        <v>0</v>
      </c>
      <c r="AB249" s="15" t="e">
        <f t="shared" si="69"/>
        <v>#DIV/0!</v>
      </c>
      <c r="AC249" s="15" t="e">
        <f t="shared" si="78"/>
        <v>#DIV/0!</v>
      </c>
      <c r="AD249" s="15" t="e">
        <f t="shared" si="70"/>
        <v>#DIV/0!</v>
      </c>
      <c r="AE249" s="15" t="e">
        <f t="shared" si="71"/>
        <v>#DIV/0!</v>
      </c>
      <c r="AF249" s="15" t="e">
        <f t="shared" si="72"/>
        <v>#DIV/0!</v>
      </c>
      <c r="AG249" s="15" t="e">
        <f t="shared" si="73"/>
        <v>#DIV/0!</v>
      </c>
      <c r="AH249" s="53" t="e">
        <f t="shared" si="74"/>
        <v>#DIV/0!</v>
      </c>
      <c r="AI249" s="102" t="e">
        <f t="shared" si="79"/>
        <v>#DIV/0!</v>
      </c>
      <c r="AJ249" s="15"/>
      <c r="AK249" s="15" t="e">
        <f t="shared" si="84"/>
        <v>#DIV/0!</v>
      </c>
      <c r="AL249" s="15" t="e">
        <f t="shared" si="85"/>
        <v>#DIV/0!</v>
      </c>
      <c r="AM249" s="15">
        <f t="shared" si="80"/>
        <v>0</v>
      </c>
      <c r="AN249" s="15" t="e">
        <f t="shared" si="81"/>
        <v>#DIV/0!</v>
      </c>
    </row>
    <row r="250" spans="18:40" ht="13.8" x14ac:dyDescent="0.3">
      <c r="R250" s="51">
        <v>119</v>
      </c>
      <c r="S250" s="38">
        <f t="shared" si="75"/>
        <v>238</v>
      </c>
      <c r="T250" s="52">
        <f t="shared" si="65"/>
        <v>4.1538836197465043</v>
      </c>
      <c r="U250" s="52">
        <f t="shared" si="82"/>
        <v>0.87461970713939585</v>
      </c>
      <c r="V250" s="52">
        <f t="shared" si="83"/>
        <v>-0.84804809615642596</v>
      </c>
      <c r="W250" s="52">
        <f t="shared" si="76"/>
        <v>-0.484809620246337</v>
      </c>
      <c r="X250" s="52">
        <f t="shared" si="77"/>
        <v>0</v>
      </c>
      <c r="Y250" s="15">
        <f t="shared" si="66"/>
        <v>0</v>
      </c>
      <c r="Z250" s="52">
        <f t="shared" si="67"/>
        <v>0</v>
      </c>
      <c r="AA250" s="52">
        <f t="shared" si="68"/>
        <v>0</v>
      </c>
      <c r="AB250" s="15" t="e">
        <f t="shared" si="69"/>
        <v>#DIV/0!</v>
      </c>
      <c r="AC250" s="15" t="e">
        <f t="shared" si="78"/>
        <v>#DIV/0!</v>
      </c>
      <c r="AD250" s="15" t="e">
        <f t="shared" si="70"/>
        <v>#DIV/0!</v>
      </c>
      <c r="AE250" s="15" t="e">
        <f t="shared" si="71"/>
        <v>#DIV/0!</v>
      </c>
      <c r="AF250" s="15" t="e">
        <f t="shared" si="72"/>
        <v>#DIV/0!</v>
      </c>
      <c r="AG250" s="15" t="e">
        <f t="shared" si="73"/>
        <v>#DIV/0!</v>
      </c>
      <c r="AH250" s="53" t="e">
        <f t="shared" si="74"/>
        <v>#DIV/0!</v>
      </c>
      <c r="AI250" s="102" t="e">
        <f t="shared" si="79"/>
        <v>#DIV/0!</v>
      </c>
      <c r="AJ250" s="15"/>
      <c r="AK250" s="15" t="e">
        <f t="shared" si="84"/>
        <v>#DIV/0!</v>
      </c>
      <c r="AL250" s="15" t="e">
        <f t="shared" si="85"/>
        <v>#DIV/0!</v>
      </c>
      <c r="AM250" s="15">
        <f t="shared" si="80"/>
        <v>0</v>
      </c>
      <c r="AN250" s="15" t="e">
        <f t="shared" si="81"/>
        <v>#DIV/0!</v>
      </c>
    </row>
    <row r="251" spans="18:40" ht="13.8" x14ac:dyDescent="0.3">
      <c r="R251" s="51">
        <v>119.5</v>
      </c>
      <c r="S251" s="38">
        <f t="shared" si="75"/>
        <v>239</v>
      </c>
      <c r="T251" s="52">
        <f t="shared" si="65"/>
        <v>4.1713369122664474</v>
      </c>
      <c r="U251" s="52">
        <f t="shared" si="82"/>
        <v>0.8703556959398997</v>
      </c>
      <c r="V251" s="52">
        <f t="shared" si="83"/>
        <v>-0.85716730070211211</v>
      </c>
      <c r="W251" s="52">
        <f t="shared" si="76"/>
        <v>-0.492423560103467</v>
      </c>
      <c r="X251" s="52">
        <f t="shared" si="77"/>
        <v>0</v>
      </c>
      <c r="Y251" s="15">
        <f t="shared" si="66"/>
        <v>0</v>
      </c>
      <c r="Z251" s="52">
        <f t="shared" si="67"/>
        <v>0</v>
      </c>
      <c r="AA251" s="52">
        <f t="shared" si="68"/>
        <v>0</v>
      </c>
      <c r="AB251" s="15" t="e">
        <f t="shared" si="69"/>
        <v>#DIV/0!</v>
      </c>
      <c r="AC251" s="15" t="e">
        <f t="shared" si="78"/>
        <v>#DIV/0!</v>
      </c>
      <c r="AD251" s="15" t="e">
        <f t="shared" si="70"/>
        <v>#DIV/0!</v>
      </c>
      <c r="AE251" s="15" t="e">
        <f t="shared" si="71"/>
        <v>#DIV/0!</v>
      </c>
      <c r="AF251" s="15" t="e">
        <f t="shared" si="72"/>
        <v>#DIV/0!</v>
      </c>
      <c r="AG251" s="15" t="e">
        <f t="shared" si="73"/>
        <v>#DIV/0!</v>
      </c>
      <c r="AH251" s="53" t="e">
        <f t="shared" si="74"/>
        <v>#DIV/0!</v>
      </c>
      <c r="AI251" s="102" t="e">
        <f t="shared" si="79"/>
        <v>#DIV/0!</v>
      </c>
      <c r="AJ251" s="15"/>
      <c r="AK251" s="15" t="e">
        <f t="shared" si="84"/>
        <v>#DIV/0!</v>
      </c>
      <c r="AL251" s="15" t="e">
        <f t="shared" si="85"/>
        <v>#DIV/0!</v>
      </c>
      <c r="AM251" s="15">
        <f t="shared" si="80"/>
        <v>0</v>
      </c>
      <c r="AN251" s="15" t="e">
        <f t="shared" si="81"/>
        <v>#DIV/0!</v>
      </c>
    </row>
    <row r="252" spans="18:40" ht="13.8" x14ac:dyDescent="0.3">
      <c r="R252" s="51">
        <v>120</v>
      </c>
      <c r="S252" s="38">
        <f t="shared" si="75"/>
        <v>240</v>
      </c>
      <c r="T252" s="52">
        <f t="shared" si="65"/>
        <v>4.1887902047863905</v>
      </c>
      <c r="U252" s="52">
        <f t="shared" si="82"/>
        <v>0.86602540378443871</v>
      </c>
      <c r="V252" s="52">
        <f t="shared" si="83"/>
        <v>-0.86602540378443837</v>
      </c>
      <c r="W252" s="52">
        <f t="shared" si="76"/>
        <v>-0.49999999999999978</v>
      </c>
      <c r="X252" s="52">
        <f t="shared" si="77"/>
        <v>0</v>
      </c>
      <c r="Y252" s="15">
        <f t="shared" si="66"/>
        <v>0</v>
      </c>
      <c r="Z252" s="52">
        <f t="shared" si="67"/>
        <v>0</v>
      </c>
      <c r="AA252" s="52">
        <f t="shared" si="68"/>
        <v>0</v>
      </c>
      <c r="AB252" s="15" t="e">
        <f t="shared" si="69"/>
        <v>#DIV/0!</v>
      </c>
      <c r="AC252" s="15" t="e">
        <f t="shared" si="78"/>
        <v>#DIV/0!</v>
      </c>
      <c r="AD252" s="15" t="e">
        <f t="shared" si="70"/>
        <v>#DIV/0!</v>
      </c>
      <c r="AE252" s="15" t="e">
        <f t="shared" si="71"/>
        <v>#DIV/0!</v>
      </c>
      <c r="AF252" s="15" t="e">
        <f t="shared" si="72"/>
        <v>#DIV/0!</v>
      </c>
      <c r="AG252" s="15" t="e">
        <f t="shared" si="73"/>
        <v>#DIV/0!</v>
      </c>
      <c r="AH252" s="53" t="e">
        <f t="shared" si="74"/>
        <v>#DIV/0!</v>
      </c>
      <c r="AI252" s="102" t="e">
        <f t="shared" si="79"/>
        <v>#DIV/0!</v>
      </c>
      <c r="AJ252" s="15"/>
      <c r="AK252" s="15" t="e">
        <f t="shared" si="84"/>
        <v>#DIV/0!</v>
      </c>
      <c r="AL252" s="15" t="e">
        <f t="shared" si="85"/>
        <v>#DIV/0!</v>
      </c>
      <c r="AM252" s="15">
        <f t="shared" si="80"/>
        <v>0</v>
      </c>
      <c r="AN252" s="15" t="e">
        <f t="shared" si="81"/>
        <v>#DIV/0!</v>
      </c>
    </row>
    <row r="253" spans="18:40" ht="13.8" x14ac:dyDescent="0.3">
      <c r="R253" s="51">
        <v>120.5</v>
      </c>
      <c r="S253" s="38">
        <f t="shared" si="75"/>
        <v>241</v>
      </c>
      <c r="T253" s="52">
        <f t="shared" si="65"/>
        <v>4.2062434973063345</v>
      </c>
      <c r="U253" s="52">
        <f t="shared" si="82"/>
        <v>0.86162916044152571</v>
      </c>
      <c r="V253" s="52">
        <f t="shared" si="83"/>
        <v>-0.87461970713939596</v>
      </c>
      <c r="W253" s="52">
        <f t="shared" si="76"/>
        <v>-0.50753836296070431</v>
      </c>
      <c r="X253" s="52">
        <f t="shared" si="77"/>
        <v>0</v>
      </c>
      <c r="Y253" s="15">
        <f t="shared" si="66"/>
        <v>0</v>
      </c>
      <c r="Z253" s="52">
        <f t="shared" si="67"/>
        <v>0</v>
      </c>
      <c r="AA253" s="52">
        <f t="shared" si="68"/>
        <v>0</v>
      </c>
      <c r="AB253" s="15" t="e">
        <f t="shared" si="69"/>
        <v>#DIV/0!</v>
      </c>
      <c r="AC253" s="15" t="e">
        <f t="shared" si="78"/>
        <v>#DIV/0!</v>
      </c>
      <c r="AD253" s="15" t="e">
        <f t="shared" si="70"/>
        <v>#DIV/0!</v>
      </c>
      <c r="AE253" s="15" t="e">
        <f t="shared" si="71"/>
        <v>#DIV/0!</v>
      </c>
      <c r="AF253" s="15" t="e">
        <f t="shared" si="72"/>
        <v>#DIV/0!</v>
      </c>
      <c r="AG253" s="15" t="e">
        <f t="shared" si="73"/>
        <v>#DIV/0!</v>
      </c>
      <c r="AH253" s="53" t="e">
        <f t="shared" si="74"/>
        <v>#DIV/0!</v>
      </c>
      <c r="AI253" s="102" t="e">
        <f t="shared" si="79"/>
        <v>#DIV/0!</v>
      </c>
      <c r="AJ253" s="15"/>
      <c r="AK253" s="15" t="e">
        <f t="shared" si="84"/>
        <v>#DIV/0!</v>
      </c>
      <c r="AL253" s="15" t="e">
        <f t="shared" si="85"/>
        <v>#DIV/0!</v>
      </c>
      <c r="AM253" s="15">
        <f t="shared" si="80"/>
        <v>0</v>
      </c>
      <c r="AN253" s="15" t="e">
        <f t="shared" si="81"/>
        <v>#DIV/0!</v>
      </c>
    </row>
    <row r="254" spans="18:40" ht="13.8" x14ac:dyDescent="0.3">
      <c r="R254" s="51">
        <v>121</v>
      </c>
      <c r="S254" s="38">
        <f t="shared" si="75"/>
        <v>242</v>
      </c>
      <c r="T254" s="52">
        <f t="shared" si="65"/>
        <v>4.2236967898262776</v>
      </c>
      <c r="U254" s="52">
        <f t="shared" si="82"/>
        <v>0.85716730070211233</v>
      </c>
      <c r="V254" s="52">
        <f t="shared" si="83"/>
        <v>-0.88294759285892699</v>
      </c>
      <c r="W254" s="52">
        <f t="shared" si="76"/>
        <v>-0.51503807491005427</v>
      </c>
      <c r="X254" s="52">
        <f t="shared" si="77"/>
        <v>0</v>
      </c>
      <c r="Y254" s="15">
        <f t="shared" si="66"/>
        <v>0</v>
      </c>
      <c r="Z254" s="52">
        <f t="shared" si="67"/>
        <v>0</v>
      </c>
      <c r="AA254" s="52">
        <f t="shared" si="68"/>
        <v>0</v>
      </c>
      <c r="AB254" s="15" t="e">
        <f t="shared" si="69"/>
        <v>#DIV/0!</v>
      </c>
      <c r="AC254" s="15" t="e">
        <f t="shared" si="78"/>
        <v>#DIV/0!</v>
      </c>
      <c r="AD254" s="15" t="e">
        <f t="shared" si="70"/>
        <v>#DIV/0!</v>
      </c>
      <c r="AE254" s="15" t="e">
        <f t="shared" si="71"/>
        <v>#DIV/0!</v>
      </c>
      <c r="AF254" s="15" t="e">
        <f t="shared" si="72"/>
        <v>#DIV/0!</v>
      </c>
      <c r="AG254" s="15" t="e">
        <f t="shared" si="73"/>
        <v>#DIV/0!</v>
      </c>
      <c r="AH254" s="53" t="e">
        <f t="shared" si="74"/>
        <v>#DIV/0!</v>
      </c>
      <c r="AI254" s="102" t="e">
        <f t="shared" si="79"/>
        <v>#DIV/0!</v>
      </c>
      <c r="AJ254" s="15"/>
      <c r="AK254" s="15" t="e">
        <f t="shared" si="84"/>
        <v>#DIV/0!</v>
      </c>
      <c r="AL254" s="15" t="e">
        <f t="shared" si="85"/>
        <v>#DIV/0!</v>
      </c>
      <c r="AM254" s="15">
        <f t="shared" si="80"/>
        <v>0</v>
      </c>
      <c r="AN254" s="15" t="e">
        <f t="shared" si="81"/>
        <v>#DIV/0!</v>
      </c>
    </row>
    <row r="255" spans="18:40" ht="13.8" x14ac:dyDescent="0.3">
      <c r="R255" s="51">
        <v>121.5</v>
      </c>
      <c r="S255" s="38">
        <f t="shared" si="75"/>
        <v>243</v>
      </c>
      <c r="T255" s="52">
        <f t="shared" si="65"/>
        <v>4.2411500823462207</v>
      </c>
      <c r="U255" s="52">
        <f t="shared" si="82"/>
        <v>0.85264016435409229</v>
      </c>
      <c r="V255" s="52">
        <f t="shared" si="83"/>
        <v>-0.89100652418836779</v>
      </c>
      <c r="W255" s="52">
        <f t="shared" si="76"/>
        <v>-0.5224985647159488</v>
      </c>
      <c r="X255" s="52">
        <f t="shared" si="77"/>
        <v>0</v>
      </c>
      <c r="Y255" s="15">
        <f t="shared" si="66"/>
        <v>0</v>
      </c>
      <c r="Z255" s="52">
        <f t="shared" si="67"/>
        <v>0</v>
      </c>
      <c r="AA255" s="52">
        <f t="shared" si="68"/>
        <v>0</v>
      </c>
      <c r="AB255" s="15" t="e">
        <f t="shared" si="69"/>
        <v>#DIV/0!</v>
      </c>
      <c r="AC255" s="15" t="e">
        <f t="shared" si="78"/>
        <v>#DIV/0!</v>
      </c>
      <c r="AD255" s="15" t="e">
        <f t="shared" si="70"/>
        <v>#DIV/0!</v>
      </c>
      <c r="AE255" s="15" t="e">
        <f t="shared" si="71"/>
        <v>#DIV/0!</v>
      </c>
      <c r="AF255" s="15" t="e">
        <f t="shared" si="72"/>
        <v>#DIV/0!</v>
      </c>
      <c r="AG255" s="15" t="e">
        <f t="shared" si="73"/>
        <v>#DIV/0!</v>
      </c>
      <c r="AH255" s="53" t="e">
        <f t="shared" si="74"/>
        <v>#DIV/0!</v>
      </c>
      <c r="AI255" s="102" t="e">
        <f t="shared" si="79"/>
        <v>#DIV/0!</v>
      </c>
      <c r="AJ255" s="15"/>
      <c r="AK255" s="15" t="e">
        <f t="shared" si="84"/>
        <v>#DIV/0!</v>
      </c>
      <c r="AL255" s="15" t="e">
        <f t="shared" si="85"/>
        <v>#DIV/0!</v>
      </c>
      <c r="AM255" s="15">
        <f t="shared" si="80"/>
        <v>0</v>
      </c>
      <c r="AN255" s="15" t="e">
        <f t="shared" si="81"/>
        <v>#DIV/0!</v>
      </c>
    </row>
    <row r="256" spans="18:40" ht="13.8" x14ac:dyDescent="0.3">
      <c r="R256" s="51">
        <v>122</v>
      </c>
      <c r="S256" s="38">
        <f t="shared" si="75"/>
        <v>244</v>
      </c>
      <c r="T256" s="52">
        <f t="shared" si="65"/>
        <v>4.2586033748661638</v>
      </c>
      <c r="U256" s="52">
        <f t="shared" si="82"/>
        <v>0.84804809615642607</v>
      </c>
      <c r="V256" s="52">
        <f t="shared" si="83"/>
        <v>-0.89879404629916682</v>
      </c>
      <c r="W256" s="52">
        <f t="shared" si="76"/>
        <v>-0.52991926423320479</v>
      </c>
      <c r="X256" s="52">
        <f t="shared" si="77"/>
        <v>0</v>
      </c>
      <c r="Y256" s="15">
        <f t="shared" si="66"/>
        <v>0</v>
      </c>
      <c r="Z256" s="52">
        <f t="shared" si="67"/>
        <v>0</v>
      </c>
      <c r="AA256" s="52">
        <f t="shared" si="68"/>
        <v>0</v>
      </c>
      <c r="AB256" s="15" t="e">
        <f t="shared" si="69"/>
        <v>#DIV/0!</v>
      </c>
      <c r="AC256" s="15" t="e">
        <f t="shared" si="78"/>
        <v>#DIV/0!</v>
      </c>
      <c r="AD256" s="15" t="e">
        <f t="shared" si="70"/>
        <v>#DIV/0!</v>
      </c>
      <c r="AE256" s="15" t="e">
        <f t="shared" si="71"/>
        <v>#DIV/0!</v>
      </c>
      <c r="AF256" s="15" t="e">
        <f t="shared" si="72"/>
        <v>#DIV/0!</v>
      </c>
      <c r="AG256" s="15" t="e">
        <f t="shared" si="73"/>
        <v>#DIV/0!</v>
      </c>
      <c r="AH256" s="53" t="e">
        <f t="shared" si="74"/>
        <v>#DIV/0!</v>
      </c>
      <c r="AI256" s="102" t="e">
        <f t="shared" si="79"/>
        <v>#DIV/0!</v>
      </c>
      <c r="AJ256" s="15"/>
      <c r="AK256" s="15" t="e">
        <f t="shared" si="84"/>
        <v>#DIV/0!</v>
      </c>
      <c r="AL256" s="15" t="e">
        <f t="shared" si="85"/>
        <v>#DIV/0!</v>
      </c>
      <c r="AM256" s="15">
        <f t="shared" si="80"/>
        <v>0</v>
      </c>
      <c r="AN256" s="15" t="e">
        <f t="shared" si="81"/>
        <v>#DIV/0!</v>
      </c>
    </row>
    <row r="257" spans="18:40" ht="13.8" x14ac:dyDescent="0.3">
      <c r="R257" s="51">
        <v>122.5</v>
      </c>
      <c r="S257" s="38">
        <f t="shared" si="75"/>
        <v>245</v>
      </c>
      <c r="T257" s="52">
        <f t="shared" si="65"/>
        <v>4.2760566673861078</v>
      </c>
      <c r="U257" s="52">
        <f t="shared" si="82"/>
        <v>0.84339144581288561</v>
      </c>
      <c r="V257" s="52">
        <f t="shared" si="83"/>
        <v>-0.90630778703665005</v>
      </c>
      <c r="W257" s="52">
        <f t="shared" si="76"/>
        <v>-0.537299608346824</v>
      </c>
      <c r="X257" s="52">
        <f t="shared" si="77"/>
        <v>0</v>
      </c>
      <c r="Y257" s="15">
        <f t="shared" si="66"/>
        <v>0</v>
      </c>
      <c r="Z257" s="52">
        <f t="shared" si="67"/>
        <v>0</v>
      </c>
      <c r="AA257" s="52">
        <f t="shared" si="68"/>
        <v>0</v>
      </c>
      <c r="AB257" s="15" t="e">
        <f t="shared" si="69"/>
        <v>#DIV/0!</v>
      </c>
      <c r="AC257" s="15" t="e">
        <f t="shared" si="78"/>
        <v>#DIV/0!</v>
      </c>
      <c r="AD257" s="15" t="e">
        <f t="shared" si="70"/>
        <v>#DIV/0!</v>
      </c>
      <c r="AE257" s="15" t="e">
        <f t="shared" si="71"/>
        <v>#DIV/0!</v>
      </c>
      <c r="AF257" s="15" t="e">
        <f t="shared" si="72"/>
        <v>#DIV/0!</v>
      </c>
      <c r="AG257" s="15" t="e">
        <f t="shared" si="73"/>
        <v>#DIV/0!</v>
      </c>
      <c r="AH257" s="53" t="e">
        <f t="shared" si="74"/>
        <v>#DIV/0!</v>
      </c>
      <c r="AI257" s="102" t="e">
        <f t="shared" si="79"/>
        <v>#DIV/0!</v>
      </c>
      <c r="AJ257" s="15"/>
      <c r="AK257" s="15" t="e">
        <f t="shared" si="84"/>
        <v>#DIV/0!</v>
      </c>
      <c r="AL257" s="15" t="e">
        <f t="shared" si="85"/>
        <v>#DIV/0!</v>
      </c>
      <c r="AM257" s="15">
        <f t="shared" si="80"/>
        <v>0</v>
      </c>
      <c r="AN257" s="15" t="e">
        <f t="shared" si="81"/>
        <v>#DIV/0!</v>
      </c>
    </row>
    <row r="258" spans="18:40" ht="13.8" x14ac:dyDescent="0.3">
      <c r="R258" s="51">
        <v>123</v>
      </c>
      <c r="S258" s="38">
        <f t="shared" si="75"/>
        <v>246</v>
      </c>
      <c r="T258" s="52">
        <f t="shared" si="65"/>
        <v>4.2935099599060509</v>
      </c>
      <c r="U258" s="52">
        <f t="shared" si="82"/>
        <v>0.83867056794542394</v>
      </c>
      <c r="V258" s="52">
        <f t="shared" si="83"/>
        <v>-0.91354545764260098</v>
      </c>
      <c r="W258" s="52">
        <f t="shared" si="76"/>
        <v>-0.54463903501502708</v>
      </c>
      <c r="X258" s="52">
        <f t="shared" si="77"/>
        <v>0</v>
      </c>
      <c r="Y258" s="15">
        <f t="shared" si="66"/>
        <v>0</v>
      </c>
      <c r="Z258" s="52">
        <f t="shared" si="67"/>
        <v>0</v>
      </c>
      <c r="AA258" s="52">
        <f t="shared" si="68"/>
        <v>0</v>
      </c>
      <c r="AB258" s="15" t="e">
        <f t="shared" si="69"/>
        <v>#DIV/0!</v>
      </c>
      <c r="AC258" s="15" t="e">
        <f t="shared" si="78"/>
        <v>#DIV/0!</v>
      </c>
      <c r="AD258" s="15" t="e">
        <f t="shared" si="70"/>
        <v>#DIV/0!</v>
      </c>
      <c r="AE258" s="15" t="e">
        <f t="shared" si="71"/>
        <v>#DIV/0!</v>
      </c>
      <c r="AF258" s="15" t="e">
        <f t="shared" si="72"/>
        <v>#DIV/0!</v>
      </c>
      <c r="AG258" s="15" t="e">
        <f t="shared" si="73"/>
        <v>#DIV/0!</v>
      </c>
      <c r="AH258" s="53" t="e">
        <f t="shared" si="74"/>
        <v>#DIV/0!</v>
      </c>
      <c r="AI258" s="102" t="e">
        <f t="shared" si="79"/>
        <v>#DIV/0!</v>
      </c>
      <c r="AJ258" s="15"/>
      <c r="AK258" s="15" t="e">
        <f t="shared" si="84"/>
        <v>#DIV/0!</v>
      </c>
      <c r="AL258" s="15" t="e">
        <f t="shared" si="85"/>
        <v>#DIV/0!</v>
      </c>
      <c r="AM258" s="15">
        <f t="shared" si="80"/>
        <v>0</v>
      </c>
      <c r="AN258" s="15" t="e">
        <f t="shared" si="81"/>
        <v>#DIV/0!</v>
      </c>
    </row>
    <row r="259" spans="18:40" ht="13.8" x14ac:dyDescent="0.3">
      <c r="R259" s="51">
        <v>123.5</v>
      </c>
      <c r="S259" s="38">
        <f t="shared" si="75"/>
        <v>247</v>
      </c>
      <c r="T259" s="52">
        <f t="shared" si="65"/>
        <v>4.310963252425994</v>
      </c>
      <c r="U259" s="52">
        <f t="shared" si="82"/>
        <v>0.83388582206716821</v>
      </c>
      <c r="V259" s="52">
        <f t="shared" si="83"/>
        <v>-0.92050485345244026</v>
      </c>
      <c r="W259" s="52">
        <f t="shared" si="76"/>
        <v>-0.55193698531205815</v>
      </c>
      <c r="X259" s="52">
        <f t="shared" si="77"/>
        <v>0</v>
      </c>
      <c r="Y259" s="15">
        <f t="shared" si="66"/>
        <v>0</v>
      </c>
      <c r="Z259" s="52">
        <f t="shared" si="67"/>
        <v>0</v>
      </c>
      <c r="AA259" s="52">
        <f t="shared" si="68"/>
        <v>0</v>
      </c>
      <c r="AB259" s="15" t="e">
        <f t="shared" si="69"/>
        <v>#DIV/0!</v>
      </c>
      <c r="AC259" s="15" t="e">
        <f t="shared" si="78"/>
        <v>#DIV/0!</v>
      </c>
      <c r="AD259" s="15" t="e">
        <f t="shared" si="70"/>
        <v>#DIV/0!</v>
      </c>
      <c r="AE259" s="15" t="e">
        <f t="shared" si="71"/>
        <v>#DIV/0!</v>
      </c>
      <c r="AF259" s="15" t="e">
        <f t="shared" si="72"/>
        <v>#DIV/0!</v>
      </c>
      <c r="AG259" s="15" t="e">
        <f t="shared" si="73"/>
        <v>#DIV/0!</v>
      </c>
      <c r="AH259" s="53" t="e">
        <f t="shared" si="74"/>
        <v>#DIV/0!</v>
      </c>
      <c r="AI259" s="102" t="e">
        <f t="shared" si="79"/>
        <v>#DIV/0!</v>
      </c>
      <c r="AJ259" s="15"/>
      <c r="AK259" s="15" t="e">
        <f t="shared" si="84"/>
        <v>#DIV/0!</v>
      </c>
      <c r="AL259" s="15" t="e">
        <f t="shared" si="85"/>
        <v>#DIV/0!</v>
      </c>
      <c r="AM259" s="15">
        <f t="shared" si="80"/>
        <v>0</v>
      </c>
      <c r="AN259" s="15" t="e">
        <f t="shared" si="81"/>
        <v>#DIV/0!</v>
      </c>
    </row>
    <row r="260" spans="18:40" ht="13.8" x14ac:dyDescent="0.3">
      <c r="R260" s="51">
        <v>124</v>
      </c>
      <c r="S260" s="38">
        <f t="shared" si="75"/>
        <v>248</v>
      </c>
      <c r="T260" s="52">
        <f t="shared" si="65"/>
        <v>4.3284165449459371</v>
      </c>
      <c r="U260" s="52">
        <f t="shared" si="82"/>
        <v>0.82903757255504174</v>
      </c>
      <c r="V260" s="52">
        <f t="shared" si="83"/>
        <v>-0.92718385456678731</v>
      </c>
      <c r="W260" s="52">
        <f t="shared" si="76"/>
        <v>-0.55919290347074668</v>
      </c>
      <c r="X260" s="52">
        <f t="shared" si="77"/>
        <v>0</v>
      </c>
      <c r="Y260" s="15">
        <f t="shared" si="66"/>
        <v>0</v>
      </c>
      <c r="Z260" s="52">
        <f t="shared" si="67"/>
        <v>0</v>
      </c>
      <c r="AA260" s="52">
        <f t="shared" si="68"/>
        <v>0</v>
      </c>
      <c r="AB260" s="15" t="e">
        <f t="shared" si="69"/>
        <v>#DIV/0!</v>
      </c>
      <c r="AC260" s="15" t="e">
        <f t="shared" si="78"/>
        <v>#DIV/0!</v>
      </c>
      <c r="AD260" s="15" t="e">
        <f t="shared" si="70"/>
        <v>#DIV/0!</v>
      </c>
      <c r="AE260" s="15" t="e">
        <f t="shared" si="71"/>
        <v>#DIV/0!</v>
      </c>
      <c r="AF260" s="15" t="e">
        <f t="shared" si="72"/>
        <v>#DIV/0!</v>
      </c>
      <c r="AG260" s="15" t="e">
        <f t="shared" si="73"/>
        <v>#DIV/0!</v>
      </c>
      <c r="AH260" s="53" t="e">
        <f t="shared" si="74"/>
        <v>#DIV/0!</v>
      </c>
      <c r="AI260" s="102" t="e">
        <f t="shared" si="79"/>
        <v>#DIV/0!</v>
      </c>
      <c r="AJ260" s="15"/>
      <c r="AK260" s="15" t="e">
        <f t="shared" si="84"/>
        <v>#DIV/0!</v>
      </c>
      <c r="AL260" s="15" t="e">
        <f t="shared" si="85"/>
        <v>#DIV/0!</v>
      </c>
      <c r="AM260" s="15">
        <f t="shared" si="80"/>
        <v>0</v>
      </c>
      <c r="AN260" s="15" t="e">
        <f t="shared" si="81"/>
        <v>#DIV/0!</v>
      </c>
    </row>
    <row r="261" spans="18:40" ht="13.8" x14ac:dyDescent="0.3">
      <c r="R261" s="51">
        <v>124.5</v>
      </c>
      <c r="S261" s="38">
        <f t="shared" si="75"/>
        <v>249</v>
      </c>
      <c r="T261" s="52">
        <f t="shared" si="65"/>
        <v>4.3458698374658802</v>
      </c>
      <c r="U261" s="52">
        <f t="shared" si="82"/>
        <v>0.82412618862201581</v>
      </c>
      <c r="V261" s="52">
        <f t="shared" si="83"/>
        <v>-0.93358042649720163</v>
      </c>
      <c r="W261" s="52">
        <f t="shared" si="76"/>
        <v>-0.56640623692483261</v>
      </c>
      <c r="X261" s="52">
        <f t="shared" si="77"/>
        <v>0</v>
      </c>
      <c r="Y261" s="15">
        <f t="shared" si="66"/>
        <v>0</v>
      </c>
      <c r="Z261" s="52">
        <f t="shared" si="67"/>
        <v>0</v>
      </c>
      <c r="AA261" s="52">
        <f t="shared" si="68"/>
        <v>0</v>
      </c>
      <c r="AB261" s="15" t="e">
        <f t="shared" si="69"/>
        <v>#DIV/0!</v>
      </c>
      <c r="AC261" s="15" t="e">
        <f t="shared" si="78"/>
        <v>#DIV/0!</v>
      </c>
      <c r="AD261" s="15" t="e">
        <f t="shared" si="70"/>
        <v>#DIV/0!</v>
      </c>
      <c r="AE261" s="15" t="e">
        <f t="shared" si="71"/>
        <v>#DIV/0!</v>
      </c>
      <c r="AF261" s="15" t="e">
        <f t="shared" si="72"/>
        <v>#DIV/0!</v>
      </c>
      <c r="AG261" s="15" t="e">
        <f t="shared" si="73"/>
        <v>#DIV/0!</v>
      </c>
      <c r="AH261" s="53" t="e">
        <f t="shared" si="74"/>
        <v>#DIV/0!</v>
      </c>
      <c r="AI261" s="102" t="e">
        <f t="shared" si="79"/>
        <v>#DIV/0!</v>
      </c>
      <c r="AJ261" s="15"/>
      <c r="AK261" s="15" t="e">
        <f t="shared" si="84"/>
        <v>#DIV/0!</v>
      </c>
      <c r="AL261" s="15" t="e">
        <f t="shared" si="85"/>
        <v>#DIV/0!</v>
      </c>
      <c r="AM261" s="15">
        <f t="shared" si="80"/>
        <v>0</v>
      </c>
      <c r="AN261" s="15" t="e">
        <f t="shared" si="81"/>
        <v>#DIV/0!</v>
      </c>
    </row>
    <row r="262" spans="18:40" ht="13.8" x14ac:dyDescent="0.3">
      <c r="R262" s="51">
        <v>125</v>
      </c>
      <c r="S262" s="38">
        <f t="shared" si="75"/>
        <v>250</v>
      </c>
      <c r="T262" s="52">
        <f t="shared" si="65"/>
        <v>4.3633231299858242</v>
      </c>
      <c r="U262" s="52">
        <f t="shared" si="82"/>
        <v>0.81915204428899169</v>
      </c>
      <c r="V262" s="52">
        <f t="shared" si="83"/>
        <v>-0.93969262078590843</v>
      </c>
      <c r="W262" s="52">
        <f t="shared" si="76"/>
        <v>-0.57357643635104616</v>
      </c>
      <c r="X262" s="52">
        <f t="shared" si="77"/>
        <v>0</v>
      </c>
      <c r="Y262" s="15">
        <f t="shared" si="66"/>
        <v>0</v>
      </c>
      <c r="Z262" s="52">
        <f t="shared" si="67"/>
        <v>0</v>
      </c>
      <c r="AA262" s="52">
        <f t="shared" si="68"/>
        <v>0</v>
      </c>
      <c r="AB262" s="15" t="e">
        <f t="shared" si="69"/>
        <v>#DIV/0!</v>
      </c>
      <c r="AC262" s="15" t="e">
        <f t="shared" si="78"/>
        <v>#DIV/0!</v>
      </c>
      <c r="AD262" s="15" t="e">
        <f t="shared" si="70"/>
        <v>#DIV/0!</v>
      </c>
      <c r="AE262" s="15" t="e">
        <f t="shared" si="71"/>
        <v>#DIV/0!</v>
      </c>
      <c r="AF262" s="15" t="e">
        <f t="shared" si="72"/>
        <v>#DIV/0!</v>
      </c>
      <c r="AG262" s="15" t="e">
        <f t="shared" si="73"/>
        <v>#DIV/0!</v>
      </c>
      <c r="AH262" s="53" t="e">
        <f t="shared" si="74"/>
        <v>#DIV/0!</v>
      </c>
      <c r="AI262" s="102" t="e">
        <f t="shared" si="79"/>
        <v>#DIV/0!</v>
      </c>
      <c r="AJ262" s="15"/>
      <c r="AK262" s="15" t="e">
        <f t="shared" si="84"/>
        <v>#DIV/0!</v>
      </c>
      <c r="AL262" s="15" t="e">
        <f t="shared" si="85"/>
        <v>#DIV/0!</v>
      </c>
      <c r="AM262" s="15">
        <f t="shared" si="80"/>
        <v>0</v>
      </c>
      <c r="AN262" s="15" t="e">
        <f t="shared" si="81"/>
        <v>#DIV/0!</v>
      </c>
    </row>
    <row r="263" spans="18:40" ht="13.8" x14ac:dyDescent="0.3">
      <c r="R263" s="51">
        <v>125.5</v>
      </c>
      <c r="S263" s="38">
        <f t="shared" si="75"/>
        <v>251</v>
      </c>
      <c r="T263" s="52">
        <f t="shared" si="65"/>
        <v>4.3807764225057673</v>
      </c>
      <c r="U263" s="52">
        <f t="shared" si="82"/>
        <v>0.81411551835631923</v>
      </c>
      <c r="V263" s="52">
        <f t="shared" si="83"/>
        <v>-0.94551857559931685</v>
      </c>
      <c r="W263" s="52">
        <f t="shared" si="76"/>
        <v>-0.58070295571093977</v>
      </c>
      <c r="X263" s="52">
        <f t="shared" si="77"/>
        <v>0</v>
      </c>
      <c r="Y263" s="15">
        <f t="shared" si="66"/>
        <v>0</v>
      </c>
      <c r="Z263" s="52">
        <f t="shared" si="67"/>
        <v>0</v>
      </c>
      <c r="AA263" s="52">
        <f t="shared" si="68"/>
        <v>0</v>
      </c>
      <c r="AB263" s="15" t="e">
        <f t="shared" si="69"/>
        <v>#DIV/0!</v>
      </c>
      <c r="AC263" s="15" t="e">
        <f t="shared" si="78"/>
        <v>#DIV/0!</v>
      </c>
      <c r="AD263" s="15" t="e">
        <f t="shared" si="70"/>
        <v>#DIV/0!</v>
      </c>
      <c r="AE263" s="15" t="e">
        <f t="shared" si="71"/>
        <v>#DIV/0!</v>
      </c>
      <c r="AF263" s="15" t="e">
        <f t="shared" si="72"/>
        <v>#DIV/0!</v>
      </c>
      <c r="AG263" s="15" t="e">
        <f t="shared" si="73"/>
        <v>#DIV/0!</v>
      </c>
      <c r="AH263" s="53" t="e">
        <f t="shared" si="74"/>
        <v>#DIV/0!</v>
      </c>
      <c r="AI263" s="102" t="e">
        <f t="shared" si="79"/>
        <v>#DIV/0!</v>
      </c>
      <c r="AJ263" s="15"/>
      <c r="AK263" s="15" t="e">
        <f t="shared" si="84"/>
        <v>#DIV/0!</v>
      </c>
      <c r="AL263" s="15" t="e">
        <f t="shared" si="85"/>
        <v>#DIV/0!</v>
      </c>
      <c r="AM263" s="15">
        <f t="shared" si="80"/>
        <v>0</v>
      </c>
      <c r="AN263" s="15" t="e">
        <f t="shared" si="81"/>
        <v>#DIV/0!</v>
      </c>
    </row>
    <row r="264" spans="18:40" ht="13.8" x14ac:dyDescent="0.3">
      <c r="R264" s="51">
        <v>126</v>
      </c>
      <c r="S264" s="38">
        <f t="shared" si="75"/>
        <v>252</v>
      </c>
      <c r="T264" s="52">
        <f t="shared" si="65"/>
        <v>4.3982297150257104</v>
      </c>
      <c r="U264" s="52">
        <f t="shared" si="82"/>
        <v>0.80901699437494745</v>
      </c>
      <c r="V264" s="52">
        <f t="shared" si="83"/>
        <v>-0.95105651629515353</v>
      </c>
      <c r="W264" s="52">
        <f t="shared" si="76"/>
        <v>-0.58778525229247303</v>
      </c>
      <c r="X264" s="52">
        <f t="shared" si="77"/>
        <v>0</v>
      </c>
      <c r="Y264" s="15">
        <f t="shared" si="66"/>
        <v>0</v>
      </c>
      <c r="Z264" s="52">
        <f t="shared" si="67"/>
        <v>0</v>
      </c>
      <c r="AA264" s="52">
        <f t="shared" si="68"/>
        <v>0</v>
      </c>
      <c r="AB264" s="15" t="e">
        <f t="shared" si="69"/>
        <v>#DIV/0!</v>
      </c>
      <c r="AC264" s="15" t="e">
        <f t="shared" si="78"/>
        <v>#DIV/0!</v>
      </c>
      <c r="AD264" s="15" t="e">
        <f t="shared" si="70"/>
        <v>#DIV/0!</v>
      </c>
      <c r="AE264" s="15" t="e">
        <f t="shared" si="71"/>
        <v>#DIV/0!</v>
      </c>
      <c r="AF264" s="15" t="e">
        <f t="shared" si="72"/>
        <v>#DIV/0!</v>
      </c>
      <c r="AG264" s="15" t="e">
        <f t="shared" si="73"/>
        <v>#DIV/0!</v>
      </c>
      <c r="AH264" s="53" t="e">
        <f t="shared" si="74"/>
        <v>#DIV/0!</v>
      </c>
      <c r="AI264" s="102" t="e">
        <f t="shared" si="79"/>
        <v>#DIV/0!</v>
      </c>
      <c r="AJ264" s="15"/>
      <c r="AK264" s="15" t="e">
        <f t="shared" si="84"/>
        <v>#DIV/0!</v>
      </c>
      <c r="AL264" s="15" t="e">
        <f t="shared" si="85"/>
        <v>#DIV/0!</v>
      </c>
      <c r="AM264" s="15">
        <f t="shared" si="80"/>
        <v>0</v>
      </c>
      <c r="AN264" s="15" t="e">
        <f t="shared" si="81"/>
        <v>#DIV/0!</v>
      </c>
    </row>
    <row r="265" spans="18:40" ht="13.8" x14ac:dyDescent="0.3">
      <c r="R265" s="51">
        <v>126.5</v>
      </c>
      <c r="S265" s="38">
        <f t="shared" si="75"/>
        <v>253</v>
      </c>
      <c r="T265" s="52">
        <f t="shared" si="65"/>
        <v>4.4156830075456535</v>
      </c>
      <c r="U265" s="52">
        <f t="shared" si="82"/>
        <v>0.80385686061721739</v>
      </c>
      <c r="V265" s="52">
        <f t="shared" si="83"/>
        <v>-0.95630475596303532</v>
      </c>
      <c r="W265" s="52">
        <f t="shared" si="76"/>
        <v>-0.59482278675134115</v>
      </c>
      <c r="X265" s="52">
        <f t="shared" si="77"/>
        <v>0</v>
      </c>
      <c r="Y265" s="15">
        <f t="shared" si="66"/>
        <v>0</v>
      </c>
      <c r="Z265" s="52">
        <f t="shared" si="67"/>
        <v>0</v>
      </c>
      <c r="AA265" s="52">
        <f t="shared" si="68"/>
        <v>0</v>
      </c>
      <c r="AB265" s="15" t="e">
        <f t="shared" si="69"/>
        <v>#DIV/0!</v>
      </c>
      <c r="AC265" s="15" t="e">
        <f t="shared" si="78"/>
        <v>#DIV/0!</v>
      </c>
      <c r="AD265" s="15" t="e">
        <f t="shared" si="70"/>
        <v>#DIV/0!</v>
      </c>
      <c r="AE265" s="15" t="e">
        <f t="shared" si="71"/>
        <v>#DIV/0!</v>
      </c>
      <c r="AF265" s="15" t="e">
        <f t="shared" si="72"/>
        <v>#DIV/0!</v>
      </c>
      <c r="AG265" s="15" t="e">
        <f t="shared" si="73"/>
        <v>#DIV/0!</v>
      </c>
      <c r="AH265" s="53" t="e">
        <f t="shared" si="74"/>
        <v>#DIV/0!</v>
      </c>
      <c r="AI265" s="102" t="e">
        <f t="shared" si="79"/>
        <v>#DIV/0!</v>
      </c>
      <c r="AJ265" s="15"/>
      <c r="AK265" s="15" t="e">
        <f t="shared" si="84"/>
        <v>#DIV/0!</v>
      </c>
      <c r="AL265" s="15" t="e">
        <f t="shared" si="85"/>
        <v>#DIV/0!</v>
      </c>
      <c r="AM265" s="15">
        <f t="shared" si="80"/>
        <v>0</v>
      </c>
      <c r="AN265" s="15" t="e">
        <f t="shared" si="81"/>
        <v>#DIV/0!</v>
      </c>
    </row>
    <row r="266" spans="18:40" ht="13.8" x14ac:dyDescent="0.3">
      <c r="R266" s="51">
        <v>127</v>
      </c>
      <c r="S266" s="38">
        <f t="shared" si="75"/>
        <v>254</v>
      </c>
      <c r="T266" s="52">
        <f t="shared" si="65"/>
        <v>4.4331363000655974</v>
      </c>
      <c r="U266" s="52">
        <f t="shared" si="82"/>
        <v>0.79863551004729272</v>
      </c>
      <c r="V266" s="52">
        <f t="shared" si="83"/>
        <v>-0.96126169593831901</v>
      </c>
      <c r="W266" s="52">
        <f t="shared" si="76"/>
        <v>-0.60181502315204838</v>
      </c>
      <c r="X266" s="52">
        <f t="shared" si="77"/>
        <v>0</v>
      </c>
      <c r="Y266" s="15">
        <f t="shared" si="66"/>
        <v>0</v>
      </c>
      <c r="Z266" s="52">
        <f t="shared" si="67"/>
        <v>0</v>
      </c>
      <c r="AA266" s="52">
        <f t="shared" si="68"/>
        <v>0</v>
      </c>
      <c r="AB266" s="15" t="e">
        <f t="shared" si="69"/>
        <v>#DIV/0!</v>
      </c>
      <c r="AC266" s="15" t="e">
        <f t="shared" si="78"/>
        <v>#DIV/0!</v>
      </c>
      <c r="AD266" s="15" t="e">
        <f t="shared" si="70"/>
        <v>#DIV/0!</v>
      </c>
      <c r="AE266" s="15" t="e">
        <f t="shared" si="71"/>
        <v>#DIV/0!</v>
      </c>
      <c r="AF266" s="15" t="e">
        <f t="shared" si="72"/>
        <v>#DIV/0!</v>
      </c>
      <c r="AG266" s="15" t="e">
        <f t="shared" si="73"/>
        <v>#DIV/0!</v>
      </c>
      <c r="AH266" s="53" t="e">
        <f t="shared" si="74"/>
        <v>#DIV/0!</v>
      </c>
      <c r="AI266" s="102" t="e">
        <f t="shared" si="79"/>
        <v>#DIV/0!</v>
      </c>
      <c r="AJ266" s="15"/>
      <c r="AK266" s="15" t="e">
        <f t="shared" si="84"/>
        <v>#DIV/0!</v>
      </c>
      <c r="AL266" s="15" t="e">
        <f t="shared" si="85"/>
        <v>#DIV/0!</v>
      </c>
      <c r="AM266" s="15">
        <f t="shared" si="80"/>
        <v>0</v>
      </c>
      <c r="AN266" s="15" t="e">
        <f t="shared" si="81"/>
        <v>#DIV/0!</v>
      </c>
    </row>
    <row r="267" spans="18:40" ht="13.8" x14ac:dyDescent="0.3">
      <c r="R267" s="51">
        <v>127.5</v>
      </c>
      <c r="S267" s="38">
        <f t="shared" si="75"/>
        <v>255</v>
      </c>
      <c r="T267" s="52">
        <f t="shared" si="65"/>
        <v>4.4505895925855405</v>
      </c>
      <c r="U267" s="52">
        <f t="shared" si="82"/>
        <v>0.79335334029123517</v>
      </c>
      <c r="V267" s="52">
        <f t="shared" si="83"/>
        <v>-0.96592582628906831</v>
      </c>
      <c r="W267" s="52">
        <f t="shared" si="76"/>
        <v>-0.60876142900872066</v>
      </c>
      <c r="X267" s="52">
        <f t="shared" si="77"/>
        <v>0</v>
      </c>
      <c r="Y267" s="15">
        <f t="shared" si="66"/>
        <v>0</v>
      </c>
      <c r="Z267" s="52">
        <f t="shared" si="67"/>
        <v>0</v>
      </c>
      <c r="AA267" s="52">
        <f t="shared" si="68"/>
        <v>0</v>
      </c>
      <c r="AB267" s="15" t="e">
        <f t="shared" si="69"/>
        <v>#DIV/0!</v>
      </c>
      <c r="AC267" s="15" t="e">
        <f t="shared" si="78"/>
        <v>#DIV/0!</v>
      </c>
      <c r="AD267" s="15" t="e">
        <f t="shared" si="70"/>
        <v>#DIV/0!</v>
      </c>
      <c r="AE267" s="15" t="e">
        <f t="shared" si="71"/>
        <v>#DIV/0!</v>
      </c>
      <c r="AF267" s="15" t="e">
        <f t="shared" si="72"/>
        <v>#DIV/0!</v>
      </c>
      <c r="AG267" s="15" t="e">
        <f t="shared" si="73"/>
        <v>#DIV/0!</v>
      </c>
      <c r="AH267" s="53" t="e">
        <f t="shared" si="74"/>
        <v>#DIV/0!</v>
      </c>
      <c r="AI267" s="102" t="e">
        <f t="shared" si="79"/>
        <v>#DIV/0!</v>
      </c>
      <c r="AJ267" s="15"/>
      <c r="AK267" s="15" t="e">
        <f t="shared" si="84"/>
        <v>#DIV/0!</v>
      </c>
      <c r="AL267" s="15" t="e">
        <f t="shared" si="85"/>
        <v>#DIV/0!</v>
      </c>
      <c r="AM267" s="15">
        <f t="shared" si="80"/>
        <v>0</v>
      </c>
      <c r="AN267" s="15" t="e">
        <f t="shared" si="81"/>
        <v>#DIV/0!</v>
      </c>
    </row>
    <row r="268" spans="18:40" ht="13.8" x14ac:dyDescent="0.3">
      <c r="R268" s="51">
        <v>128</v>
      </c>
      <c r="S268" s="38">
        <f t="shared" si="75"/>
        <v>256</v>
      </c>
      <c r="T268" s="52">
        <f t="shared" ref="T268:T331" si="86">S268*(PI()/180)</f>
        <v>4.4680428851054836</v>
      </c>
      <c r="U268" s="52">
        <f t="shared" si="82"/>
        <v>0.78801075360672201</v>
      </c>
      <c r="V268" s="52">
        <f t="shared" si="83"/>
        <v>-0.97029572627599647</v>
      </c>
      <c r="W268" s="52">
        <f t="shared" si="76"/>
        <v>-0.61566147532565829</v>
      </c>
      <c r="X268" s="52">
        <f t="shared" si="77"/>
        <v>0</v>
      </c>
      <c r="Y268" s="15">
        <f t="shared" ref="Y268:Y331" si="87">0.5*$W$4^2*(T268-V268)</f>
        <v>0</v>
      </c>
      <c r="Z268" s="52">
        <f t="shared" ref="Z268:Z331" si="88">$W$4*(1-W268)</f>
        <v>0</v>
      </c>
      <c r="AA268" s="52">
        <f t="shared" ref="AA268:AA331" si="89">$W$4*T268</f>
        <v>0</v>
      </c>
      <c r="AB268" s="15" t="e">
        <f t="shared" ref="AB268:AB331" si="90">Z268/$W$5</f>
        <v>#DIV/0!</v>
      </c>
      <c r="AC268" s="15" t="e">
        <f t="shared" si="78"/>
        <v>#DIV/0!</v>
      </c>
      <c r="AD268" s="15" t="e">
        <f t="shared" ref="AD268:AD331" si="91">(POWER(AC268,2/3)*Y268)/(POWER($W$8,2/3)*$W$6)</f>
        <v>#DIV/0!</v>
      </c>
      <c r="AE268" s="15" t="e">
        <f t="shared" ref="AE268:AE331" si="92">SQRT(AC268/$W$8)*POWER(AC268/$W$8,1/8)</f>
        <v>#DIV/0!</v>
      </c>
      <c r="AF268" s="15" t="e">
        <f t="shared" ref="AF268:AF331" si="93">AE268*(Y268/$W$6)</f>
        <v>#DIV/0!</v>
      </c>
      <c r="AG268" s="15" t="e">
        <f t="shared" ref="AG268:AG331" si="94">Y268*$D$5*SQRT($D$6)*POWER(AC268,2/3)</f>
        <v>#DIV/0!</v>
      </c>
      <c r="AH268" s="53" t="e">
        <f t="shared" ref="AH268:AH331" si="95">-2*SQRT(8*9.81)*SQRT(AC268*$D$6)*LOG10(($AA$4/(3.71*4*AC268))+((2.51*$AA$5)/(4*AC268*SQRT(8*9.81)*SQRT(AC268*$D$6))))*Y268</f>
        <v>#DIV/0!</v>
      </c>
      <c r="AI268" s="102" t="e">
        <f t="shared" si="79"/>
        <v>#DIV/0!</v>
      </c>
      <c r="AJ268" s="15"/>
      <c r="AK268" s="15" t="e">
        <f t="shared" si="84"/>
        <v>#DIV/0!</v>
      </c>
      <c r="AL268" s="15" t="e">
        <f t="shared" si="85"/>
        <v>#DIV/0!</v>
      </c>
      <c r="AM268" s="15">
        <f t="shared" si="80"/>
        <v>0</v>
      </c>
      <c r="AN268" s="15" t="e">
        <f t="shared" si="81"/>
        <v>#DIV/0!</v>
      </c>
    </row>
    <row r="269" spans="18:40" ht="13.8" x14ac:dyDescent="0.3">
      <c r="R269" s="51">
        <v>128.5</v>
      </c>
      <c r="S269" s="38">
        <f t="shared" ref="S269:S332" si="96">2*R269</f>
        <v>257</v>
      </c>
      <c r="T269" s="52">
        <f t="shared" si="86"/>
        <v>4.4854961776254267</v>
      </c>
      <c r="U269" s="52">
        <f t="shared" si="82"/>
        <v>0.78260815685241403</v>
      </c>
      <c r="V269" s="52">
        <f t="shared" si="83"/>
        <v>-0.97437006478523513</v>
      </c>
      <c r="W269" s="52">
        <f t="shared" ref="W269:W332" si="97">COS(T269/2)</f>
        <v>-0.62251463663761941</v>
      </c>
      <c r="X269" s="52">
        <f t="shared" ref="X269:X332" si="98">2*$W$4*U269</f>
        <v>0</v>
      </c>
      <c r="Y269" s="15">
        <f t="shared" si="87"/>
        <v>0</v>
      </c>
      <c r="Z269" s="52">
        <f t="shared" si="88"/>
        <v>0</v>
      </c>
      <c r="AA269" s="52">
        <f t="shared" si="89"/>
        <v>0</v>
      </c>
      <c r="AB269" s="15" t="e">
        <f t="shared" si="90"/>
        <v>#DIV/0!</v>
      </c>
      <c r="AC269" s="15" t="e">
        <f t="shared" ref="AC269:AC332" si="99">Y269/AA269</f>
        <v>#DIV/0!</v>
      </c>
      <c r="AD269" s="15" t="e">
        <f t="shared" si="91"/>
        <v>#DIV/0!</v>
      </c>
      <c r="AE269" s="15" t="e">
        <f t="shared" si="92"/>
        <v>#DIV/0!</v>
      </c>
      <c r="AF269" s="15" t="e">
        <f t="shared" si="93"/>
        <v>#DIV/0!</v>
      </c>
      <c r="AG269" s="15" t="e">
        <f t="shared" si="94"/>
        <v>#DIV/0!</v>
      </c>
      <c r="AH269" s="53" t="e">
        <f t="shared" si="95"/>
        <v>#DIV/0!</v>
      </c>
      <c r="AI269" s="102" t="e">
        <f t="shared" ref="AI269:AI332" si="100">SQRT((AH269^2*X269)/(9.81*Y269^3))</f>
        <v>#DIV/0!</v>
      </c>
      <c r="AJ269" s="15"/>
      <c r="AK269" s="15" t="e">
        <f t="shared" si="84"/>
        <v>#DIV/0!</v>
      </c>
      <c r="AL269" s="15" t="e">
        <f t="shared" si="85"/>
        <v>#DIV/0!</v>
      </c>
      <c r="AM269" s="15">
        <f t="shared" ref="AM269:AM332" si="101">Y269</f>
        <v>0</v>
      </c>
      <c r="AN269" s="15" t="e">
        <f t="shared" ref="AN269:AN332" si="102">AC269</f>
        <v>#DIV/0!</v>
      </c>
    </row>
    <row r="270" spans="18:40" ht="13.8" x14ac:dyDescent="0.3">
      <c r="R270" s="51">
        <v>129</v>
      </c>
      <c r="S270" s="38">
        <f t="shared" si="96"/>
        <v>258</v>
      </c>
      <c r="T270" s="52">
        <f t="shared" si="86"/>
        <v>4.5029494701453698</v>
      </c>
      <c r="U270" s="52">
        <f t="shared" si="82"/>
        <v>0.77714596145697101</v>
      </c>
      <c r="V270" s="52">
        <f t="shared" si="83"/>
        <v>-0.97814760073380558</v>
      </c>
      <c r="W270" s="52">
        <f t="shared" si="97"/>
        <v>-0.62932039104983728</v>
      </c>
      <c r="X270" s="52">
        <f t="shared" si="98"/>
        <v>0</v>
      </c>
      <c r="Y270" s="15">
        <f t="shared" si="87"/>
        <v>0</v>
      </c>
      <c r="Z270" s="52">
        <f t="shared" si="88"/>
        <v>0</v>
      </c>
      <c r="AA270" s="52">
        <f t="shared" si="89"/>
        <v>0</v>
      </c>
      <c r="AB270" s="15" t="e">
        <f t="shared" si="90"/>
        <v>#DIV/0!</v>
      </c>
      <c r="AC270" s="15" t="e">
        <f t="shared" si="99"/>
        <v>#DIV/0!</v>
      </c>
      <c r="AD270" s="15" t="e">
        <f t="shared" si="91"/>
        <v>#DIV/0!</v>
      </c>
      <c r="AE270" s="15" t="e">
        <f t="shared" si="92"/>
        <v>#DIV/0!</v>
      </c>
      <c r="AF270" s="15" t="e">
        <f t="shared" si="93"/>
        <v>#DIV/0!</v>
      </c>
      <c r="AG270" s="15" t="e">
        <f t="shared" si="94"/>
        <v>#DIV/0!</v>
      </c>
      <c r="AH270" s="53" t="e">
        <f t="shared" si="95"/>
        <v>#DIV/0!</v>
      </c>
      <c r="AI270" s="102" t="e">
        <f t="shared" si="100"/>
        <v>#DIV/0!</v>
      </c>
      <c r="AJ270" s="15"/>
      <c r="AK270" s="15" t="e">
        <f t="shared" si="84"/>
        <v>#DIV/0!</v>
      </c>
      <c r="AL270" s="15" t="e">
        <f t="shared" si="85"/>
        <v>#DIV/0!</v>
      </c>
      <c r="AM270" s="15">
        <f t="shared" si="101"/>
        <v>0</v>
      </c>
      <c r="AN270" s="15" t="e">
        <f t="shared" si="102"/>
        <v>#DIV/0!</v>
      </c>
    </row>
    <row r="271" spans="18:40" ht="13.8" x14ac:dyDescent="0.3">
      <c r="R271" s="51">
        <v>129.5</v>
      </c>
      <c r="S271" s="38">
        <f t="shared" si="96"/>
        <v>259</v>
      </c>
      <c r="T271" s="52">
        <f t="shared" si="86"/>
        <v>4.5204027626653138</v>
      </c>
      <c r="U271" s="52">
        <f t="shared" ref="U271:U334" si="103">SIN(T271/2)</f>
        <v>0.77162458338771989</v>
      </c>
      <c r="V271" s="52">
        <f t="shared" ref="V271:V334" si="104">SIN(T271)</f>
        <v>-0.98162718344766398</v>
      </c>
      <c r="W271" s="52">
        <f t="shared" si="97"/>
        <v>-0.63607822027776406</v>
      </c>
      <c r="X271" s="52">
        <f t="shared" si="98"/>
        <v>0</v>
      </c>
      <c r="Y271" s="15">
        <f t="shared" si="87"/>
        <v>0</v>
      </c>
      <c r="Z271" s="52">
        <f t="shared" si="88"/>
        <v>0</v>
      </c>
      <c r="AA271" s="52">
        <f t="shared" si="89"/>
        <v>0</v>
      </c>
      <c r="AB271" s="15" t="e">
        <f t="shared" si="90"/>
        <v>#DIV/0!</v>
      </c>
      <c r="AC271" s="15" t="e">
        <f t="shared" si="99"/>
        <v>#DIV/0!</v>
      </c>
      <c r="AD271" s="15" t="e">
        <f t="shared" si="91"/>
        <v>#DIV/0!</v>
      </c>
      <c r="AE271" s="15" t="e">
        <f t="shared" si="92"/>
        <v>#DIV/0!</v>
      </c>
      <c r="AF271" s="15" t="e">
        <f t="shared" si="93"/>
        <v>#DIV/0!</v>
      </c>
      <c r="AG271" s="15" t="e">
        <f t="shared" si="94"/>
        <v>#DIV/0!</v>
      </c>
      <c r="AH271" s="53" t="e">
        <f t="shared" si="95"/>
        <v>#DIV/0!</v>
      </c>
      <c r="AI271" s="102" t="e">
        <f t="shared" si="100"/>
        <v>#DIV/0!</v>
      </c>
      <c r="AJ271" s="15"/>
      <c r="AK271" s="15" t="e">
        <f t="shared" si="84"/>
        <v>#DIV/0!</v>
      </c>
      <c r="AL271" s="15" t="e">
        <f t="shared" si="85"/>
        <v>#DIV/0!</v>
      </c>
      <c r="AM271" s="15">
        <f t="shared" si="101"/>
        <v>0</v>
      </c>
      <c r="AN271" s="15" t="e">
        <f t="shared" si="102"/>
        <v>#DIV/0!</v>
      </c>
    </row>
    <row r="272" spans="18:40" ht="13.8" x14ac:dyDescent="0.3">
      <c r="R272" s="51">
        <v>130</v>
      </c>
      <c r="S272" s="38">
        <f t="shared" si="96"/>
        <v>260</v>
      </c>
      <c r="T272" s="52">
        <f t="shared" si="86"/>
        <v>4.5378560551852569</v>
      </c>
      <c r="U272" s="52">
        <f t="shared" si="103"/>
        <v>0.76604444311897801</v>
      </c>
      <c r="V272" s="52">
        <f t="shared" si="104"/>
        <v>-0.98480775301220802</v>
      </c>
      <c r="W272" s="52">
        <f t="shared" si="97"/>
        <v>-0.64278760968653936</v>
      </c>
      <c r="X272" s="52">
        <f t="shared" si="98"/>
        <v>0</v>
      </c>
      <c r="Y272" s="15">
        <f t="shared" si="87"/>
        <v>0</v>
      </c>
      <c r="Z272" s="52">
        <f t="shared" si="88"/>
        <v>0</v>
      </c>
      <c r="AA272" s="52">
        <f t="shared" si="89"/>
        <v>0</v>
      </c>
      <c r="AB272" s="15" t="e">
        <f t="shared" si="90"/>
        <v>#DIV/0!</v>
      </c>
      <c r="AC272" s="15" t="e">
        <f t="shared" si="99"/>
        <v>#DIV/0!</v>
      </c>
      <c r="AD272" s="15" t="e">
        <f t="shared" si="91"/>
        <v>#DIV/0!</v>
      </c>
      <c r="AE272" s="15" t="e">
        <f t="shared" si="92"/>
        <v>#DIV/0!</v>
      </c>
      <c r="AF272" s="15" t="e">
        <f t="shared" si="93"/>
        <v>#DIV/0!</v>
      </c>
      <c r="AG272" s="15" t="e">
        <f t="shared" si="94"/>
        <v>#DIV/0!</v>
      </c>
      <c r="AH272" s="53" t="e">
        <f t="shared" si="95"/>
        <v>#DIV/0!</v>
      </c>
      <c r="AI272" s="102" t="e">
        <f t="shared" si="100"/>
        <v>#DIV/0!</v>
      </c>
      <c r="AJ272" s="15"/>
      <c r="AK272" s="15" t="e">
        <f t="shared" si="84"/>
        <v>#DIV/0!</v>
      </c>
      <c r="AL272" s="15" t="e">
        <f t="shared" si="85"/>
        <v>#DIV/0!</v>
      </c>
      <c r="AM272" s="15">
        <f t="shared" si="101"/>
        <v>0</v>
      </c>
      <c r="AN272" s="15" t="e">
        <f t="shared" si="102"/>
        <v>#DIV/0!</v>
      </c>
    </row>
    <row r="273" spans="18:40" ht="13.8" x14ac:dyDescent="0.3">
      <c r="R273" s="51">
        <v>130.5</v>
      </c>
      <c r="S273" s="38">
        <f t="shared" si="96"/>
        <v>261</v>
      </c>
      <c r="T273" s="52">
        <f t="shared" si="86"/>
        <v>4.5553093477052</v>
      </c>
      <c r="U273" s="52">
        <f t="shared" si="103"/>
        <v>0.76040596560003104</v>
      </c>
      <c r="V273" s="52">
        <f t="shared" si="104"/>
        <v>-0.98768834059513766</v>
      </c>
      <c r="W273" s="52">
        <f t="shared" si="97"/>
        <v>-0.64944804833018355</v>
      </c>
      <c r="X273" s="52">
        <f t="shared" si="98"/>
        <v>0</v>
      </c>
      <c r="Y273" s="15">
        <f t="shared" si="87"/>
        <v>0</v>
      </c>
      <c r="Z273" s="52">
        <f t="shared" si="88"/>
        <v>0</v>
      </c>
      <c r="AA273" s="52">
        <f t="shared" si="89"/>
        <v>0</v>
      </c>
      <c r="AB273" s="15" t="e">
        <f t="shared" si="90"/>
        <v>#DIV/0!</v>
      </c>
      <c r="AC273" s="15" t="e">
        <f t="shared" si="99"/>
        <v>#DIV/0!</v>
      </c>
      <c r="AD273" s="15" t="e">
        <f t="shared" si="91"/>
        <v>#DIV/0!</v>
      </c>
      <c r="AE273" s="15" t="e">
        <f t="shared" si="92"/>
        <v>#DIV/0!</v>
      </c>
      <c r="AF273" s="15" t="e">
        <f t="shared" si="93"/>
        <v>#DIV/0!</v>
      </c>
      <c r="AG273" s="15" t="e">
        <f t="shared" si="94"/>
        <v>#DIV/0!</v>
      </c>
      <c r="AH273" s="53" t="e">
        <f t="shared" si="95"/>
        <v>#DIV/0!</v>
      </c>
      <c r="AI273" s="102" t="e">
        <f t="shared" si="100"/>
        <v>#DIV/0!</v>
      </c>
      <c r="AJ273" s="15"/>
      <c r="AK273" s="15" t="e">
        <f t="shared" si="84"/>
        <v>#DIV/0!</v>
      </c>
      <c r="AL273" s="15" t="e">
        <f t="shared" si="85"/>
        <v>#DIV/0!</v>
      </c>
      <c r="AM273" s="15">
        <f t="shared" si="101"/>
        <v>0</v>
      </c>
      <c r="AN273" s="15" t="e">
        <f t="shared" si="102"/>
        <v>#DIV/0!</v>
      </c>
    </row>
    <row r="274" spans="18:40" ht="13.8" x14ac:dyDescent="0.3">
      <c r="R274" s="51">
        <v>131</v>
      </c>
      <c r="S274" s="38">
        <f t="shared" si="96"/>
        <v>262</v>
      </c>
      <c r="T274" s="52">
        <f t="shared" si="86"/>
        <v>4.5727626402251431</v>
      </c>
      <c r="U274" s="52">
        <f t="shared" si="103"/>
        <v>0.75470958022277213</v>
      </c>
      <c r="V274" s="52">
        <f t="shared" si="104"/>
        <v>-0.99026806874157025</v>
      </c>
      <c r="W274" s="52">
        <f t="shared" si="97"/>
        <v>-0.65605902899050716</v>
      </c>
      <c r="X274" s="52">
        <f t="shared" si="98"/>
        <v>0</v>
      </c>
      <c r="Y274" s="15">
        <f t="shared" si="87"/>
        <v>0</v>
      </c>
      <c r="Z274" s="52">
        <f t="shared" si="88"/>
        <v>0</v>
      </c>
      <c r="AA274" s="52">
        <f t="shared" si="89"/>
        <v>0</v>
      </c>
      <c r="AB274" s="15" t="e">
        <f t="shared" si="90"/>
        <v>#DIV/0!</v>
      </c>
      <c r="AC274" s="15" t="e">
        <f t="shared" si="99"/>
        <v>#DIV/0!</v>
      </c>
      <c r="AD274" s="15" t="e">
        <f t="shared" si="91"/>
        <v>#DIV/0!</v>
      </c>
      <c r="AE274" s="15" t="e">
        <f t="shared" si="92"/>
        <v>#DIV/0!</v>
      </c>
      <c r="AF274" s="15" t="e">
        <f t="shared" si="93"/>
        <v>#DIV/0!</v>
      </c>
      <c r="AG274" s="15" t="e">
        <f t="shared" si="94"/>
        <v>#DIV/0!</v>
      </c>
      <c r="AH274" s="53" t="e">
        <f t="shared" si="95"/>
        <v>#DIV/0!</v>
      </c>
      <c r="AI274" s="102" t="e">
        <f t="shared" si="100"/>
        <v>#DIV/0!</v>
      </c>
      <c r="AJ274" s="15"/>
      <c r="AK274" s="15" t="e">
        <f t="shared" si="84"/>
        <v>#DIV/0!</v>
      </c>
      <c r="AL274" s="15" t="e">
        <f t="shared" si="85"/>
        <v>#DIV/0!</v>
      </c>
      <c r="AM274" s="15">
        <f t="shared" si="101"/>
        <v>0</v>
      </c>
      <c r="AN274" s="15" t="e">
        <f t="shared" si="102"/>
        <v>#DIV/0!</v>
      </c>
    </row>
    <row r="275" spans="18:40" ht="13.8" x14ac:dyDescent="0.3">
      <c r="R275" s="51">
        <v>131.5</v>
      </c>
      <c r="S275" s="38">
        <f t="shared" si="96"/>
        <v>263</v>
      </c>
      <c r="T275" s="52">
        <f t="shared" si="86"/>
        <v>4.5902159327450871</v>
      </c>
      <c r="U275" s="52">
        <f t="shared" si="103"/>
        <v>0.74895572078900208</v>
      </c>
      <c r="V275" s="52">
        <f t="shared" si="104"/>
        <v>-0.99254615164132209</v>
      </c>
      <c r="W275" s="52">
        <f t="shared" si="97"/>
        <v>-0.66262004821573761</v>
      </c>
      <c r="X275" s="52">
        <f t="shared" si="98"/>
        <v>0</v>
      </c>
      <c r="Y275" s="15">
        <f t="shared" si="87"/>
        <v>0</v>
      </c>
      <c r="Z275" s="52">
        <f t="shared" si="88"/>
        <v>0</v>
      </c>
      <c r="AA275" s="52">
        <f t="shared" si="89"/>
        <v>0</v>
      </c>
      <c r="AB275" s="15" t="e">
        <f t="shared" si="90"/>
        <v>#DIV/0!</v>
      </c>
      <c r="AC275" s="15" t="e">
        <f t="shared" si="99"/>
        <v>#DIV/0!</v>
      </c>
      <c r="AD275" s="15" t="e">
        <f t="shared" si="91"/>
        <v>#DIV/0!</v>
      </c>
      <c r="AE275" s="15" t="e">
        <f t="shared" si="92"/>
        <v>#DIV/0!</v>
      </c>
      <c r="AF275" s="15" t="e">
        <f t="shared" si="93"/>
        <v>#DIV/0!</v>
      </c>
      <c r="AG275" s="15" t="e">
        <f t="shared" si="94"/>
        <v>#DIV/0!</v>
      </c>
      <c r="AH275" s="53" t="e">
        <f t="shared" si="95"/>
        <v>#DIV/0!</v>
      </c>
      <c r="AI275" s="102" t="e">
        <f t="shared" si="100"/>
        <v>#DIV/0!</v>
      </c>
      <c r="AJ275" s="15"/>
      <c r="AK275" s="15" t="e">
        <f t="shared" si="84"/>
        <v>#DIV/0!</v>
      </c>
      <c r="AL275" s="15" t="e">
        <f t="shared" si="85"/>
        <v>#DIV/0!</v>
      </c>
      <c r="AM275" s="15">
        <f t="shared" si="101"/>
        <v>0</v>
      </c>
      <c r="AN275" s="15" t="e">
        <f t="shared" si="102"/>
        <v>#DIV/0!</v>
      </c>
    </row>
    <row r="276" spans="18:40" ht="13.8" x14ac:dyDescent="0.3">
      <c r="R276" s="51">
        <v>132</v>
      </c>
      <c r="S276" s="38">
        <f t="shared" si="96"/>
        <v>264</v>
      </c>
      <c r="T276" s="52">
        <f t="shared" si="86"/>
        <v>4.6076692252650302</v>
      </c>
      <c r="U276" s="52">
        <f t="shared" si="103"/>
        <v>0.74314482547739424</v>
      </c>
      <c r="V276" s="52">
        <f t="shared" si="104"/>
        <v>-0.9945218953682734</v>
      </c>
      <c r="W276" s="52">
        <f t="shared" si="97"/>
        <v>-0.66913060635885824</v>
      </c>
      <c r="X276" s="52">
        <f t="shared" si="98"/>
        <v>0</v>
      </c>
      <c r="Y276" s="15">
        <f t="shared" si="87"/>
        <v>0</v>
      </c>
      <c r="Z276" s="52">
        <f t="shared" si="88"/>
        <v>0</v>
      </c>
      <c r="AA276" s="52">
        <f t="shared" si="89"/>
        <v>0</v>
      </c>
      <c r="AB276" s="15" t="e">
        <f t="shared" si="90"/>
        <v>#DIV/0!</v>
      </c>
      <c r="AC276" s="15" t="e">
        <f t="shared" si="99"/>
        <v>#DIV/0!</v>
      </c>
      <c r="AD276" s="15" t="e">
        <f t="shared" si="91"/>
        <v>#DIV/0!</v>
      </c>
      <c r="AE276" s="15" t="e">
        <f t="shared" si="92"/>
        <v>#DIV/0!</v>
      </c>
      <c r="AF276" s="15" t="e">
        <f t="shared" si="93"/>
        <v>#DIV/0!</v>
      </c>
      <c r="AG276" s="15" t="e">
        <f t="shared" si="94"/>
        <v>#DIV/0!</v>
      </c>
      <c r="AH276" s="53" t="e">
        <f t="shared" si="95"/>
        <v>#DIV/0!</v>
      </c>
      <c r="AI276" s="102" t="e">
        <f t="shared" si="100"/>
        <v>#DIV/0!</v>
      </c>
      <c r="AJ276" s="15"/>
      <c r="AK276" s="15" t="e">
        <f t="shared" si="84"/>
        <v>#DIV/0!</v>
      </c>
      <c r="AL276" s="15" t="e">
        <f t="shared" si="85"/>
        <v>#DIV/0!</v>
      </c>
      <c r="AM276" s="15">
        <f t="shared" si="101"/>
        <v>0</v>
      </c>
      <c r="AN276" s="15" t="e">
        <f t="shared" si="102"/>
        <v>#DIV/0!</v>
      </c>
    </row>
    <row r="277" spans="18:40" ht="13.8" x14ac:dyDescent="0.3">
      <c r="R277" s="51">
        <v>132.5</v>
      </c>
      <c r="S277" s="38">
        <f t="shared" si="96"/>
        <v>265</v>
      </c>
      <c r="T277" s="52">
        <f t="shared" si="86"/>
        <v>4.6251225177849733</v>
      </c>
      <c r="U277" s="52">
        <f t="shared" si="103"/>
        <v>0.73727733681012408</v>
      </c>
      <c r="V277" s="52">
        <f t="shared" si="104"/>
        <v>-0.99619469809174555</v>
      </c>
      <c r="W277" s="52">
        <f t="shared" si="97"/>
        <v>-0.67559020761566024</v>
      </c>
      <c r="X277" s="52">
        <f t="shared" si="98"/>
        <v>0</v>
      </c>
      <c r="Y277" s="15">
        <f t="shared" si="87"/>
        <v>0</v>
      </c>
      <c r="Z277" s="52">
        <f t="shared" si="88"/>
        <v>0</v>
      </c>
      <c r="AA277" s="52">
        <f t="shared" si="89"/>
        <v>0</v>
      </c>
      <c r="AB277" s="15" t="e">
        <f t="shared" si="90"/>
        <v>#DIV/0!</v>
      </c>
      <c r="AC277" s="15" t="e">
        <f t="shared" si="99"/>
        <v>#DIV/0!</v>
      </c>
      <c r="AD277" s="15" t="e">
        <f t="shared" si="91"/>
        <v>#DIV/0!</v>
      </c>
      <c r="AE277" s="15" t="e">
        <f t="shared" si="92"/>
        <v>#DIV/0!</v>
      </c>
      <c r="AF277" s="15" t="e">
        <f t="shared" si="93"/>
        <v>#DIV/0!</v>
      </c>
      <c r="AG277" s="15" t="e">
        <f t="shared" si="94"/>
        <v>#DIV/0!</v>
      </c>
      <c r="AH277" s="53" t="e">
        <f t="shared" si="95"/>
        <v>#DIV/0!</v>
      </c>
      <c r="AI277" s="102" t="e">
        <f t="shared" si="100"/>
        <v>#DIV/0!</v>
      </c>
      <c r="AJ277" s="15"/>
      <c r="AK277" s="15" t="e">
        <f t="shared" si="84"/>
        <v>#DIV/0!</v>
      </c>
      <c r="AL277" s="15" t="e">
        <f t="shared" si="85"/>
        <v>#DIV/0!</v>
      </c>
      <c r="AM277" s="15">
        <f t="shared" si="101"/>
        <v>0</v>
      </c>
      <c r="AN277" s="15" t="e">
        <f t="shared" si="102"/>
        <v>#DIV/0!</v>
      </c>
    </row>
    <row r="278" spans="18:40" ht="13.8" x14ac:dyDescent="0.3">
      <c r="R278" s="51">
        <v>133</v>
      </c>
      <c r="S278" s="38">
        <f t="shared" si="96"/>
        <v>266</v>
      </c>
      <c r="T278" s="52">
        <f t="shared" si="86"/>
        <v>4.6425758103049164</v>
      </c>
      <c r="U278" s="52">
        <f t="shared" si="103"/>
        <v>0.73135370161917057</v>
      </c>
      <c r="V278" s="52">
        <f t="shared" si="104"/>
        <v>-0.9975640502598242</v>
      </c>
      <c r="W278" s="52">
        <f t="shared" si="97"/>
        <v>-0.68199836006249837</v>
      </c>
      <c r="X278" s="52">
        <f t="shared" si="98"/>
        <v>0</v>
      </c>
      <c r="Y278" s="15">
        <f t="shared" si="87"/>
        <v>0</v>
      </c>
      <c r="Z278" s="52">
        <f t="shared" si="88"/>
        <v>0</v>
      </c>
      <c r="AA278" s="52">
        <f t="shared" si="89"/>
        <v>0</v>
      </c>
      <c r="AB278" s="15" t="e">
        <f t="shared" si="90"/>
        <v>#DIV/0!</v>
      </c>
      <c r="AC278" s="15" t="e">
        <f t="shared" si="99"/>
        <v>#DIV/0!</v>
      </c>
      <c r="AD278" s="15" t="e">
        <f t="shared" si="91"/>
        <v>#DIV/0!</v>
      </c>
      <c r="AE278" s="15" t="e">
        <f t="shared" si="92"/>
        <v>#DIV/0!</v>
      </c>
      <c r="AF278" s="15" t="e">
        <f t="shared" si="93"/>
        <v>#DIV/0!</v>
      </c>
      <c r="AG278" s="15" t="e">
        <f t="shared" si="94"/>
        <v>#DIV/0!</v>
      </c>
      <c r="AH278" s="53" t="e">
        <f t="shared" si="95"/>
        <v>#DIV/0!</v>
      </c>
      <c r="AI278" s="102" t="e">
        <f t="shared" si="100"/>
        <v>#DIV/0!</v>
      </c>
      <c r="AJ278" s="15"/>
      <c r="AK278" s="15" t="e">
        <f t="shared" si="84"/>
        <v>#DIV/0!</v>
      </c>
      <c r="AL278" s="15" t="e">
        <f t="shared" si="85"/>
        <v>#DIV/0!</v>
      </c>
      <c r="AM278" s="15">
        <f t="shared" si="101"/>
        <v>0</v>
      </c>
      <c r="AN278" s="15" t="e">
        <f t="shared" si="102"/>
        <v>#DIV/0!</v>
      </c>
    </row>
    <row r="279" spans="18:40" ht="13.8" x14ac:dyDescent="0.3">
      <c r="R279" s="51">
        <v>133.5</v>
      </c>
      <c r="S279" s="38">
        <f t="shared" si="96"/>
        <v>267</v>
      </c>
      <c r="T279" s="52">
        <f t="shared" si="86"/>
        <v>4.6600291028248595</v>
      </c>
      <c r="U279" s="52">
        <f t="shared" si="103"/>
        <v>0.72537437101228786</v>
      </c>
      <c r="V279" s="52">
        <f t="shared" si="104"/>
        <v>-0.99862953475457383</v>
      </c>
      <c r="W279" s="52">
        <f t="shared" si="97"/>
        <v>-0.6883545756937538</v>
      </c>
      <c r="X279" s="52">
        <f t="shared" si="98"/>
        <v>0</v>
      </c>
      <c r="Y279" s="15">
        <f t="shared" si="87"/>
        <v>0</v>
      </c>
      <c r="Z279" s="52">
        <f t="shared" si="88"/>
        <v>0</v>
      </c>
      <c r="AA279" s="52">
        <f t="shared" si="89"/>
        <v>0</v>
      </c>
      <c r="AB279" s="15" t="e">
        <f t="shared" si="90"/>
        <v>#DIV/0!</v>
      </c>
      <c r="AC279" s="15" t="e">
        <f t="shared" si="99"/>
        <v>#DIV/0!</v>
      </c>
      <c r="AD279" s="15" t="e">
        <f t="shared" si="91"/>
        <v>#DIV/0!</v>
      </c>
      <c r="AE279" s="15" t="e">
        <f t="shared" si="92"/>
        <v>#DIV/0!</v>
      </c>
      <c r="AF279" s="15" t="e">
        <f t="shared" si="93"/>
        <v>#DIV/0!</v>
      </c>
      <c r="AG279" s="15" t="e">
        <f t="shared" si="94"/>
        <v>#DIV/0!</v>
      </c>
      <c r="AH279" s="53" t="e">
        <f t="shared" si="95"/>
        <v>#DIV/0!</v>
      </c>
      <c r="AI279" s="102" t="e">
        <f t="shared" si="100"/>
        <v>#DIV/0!</v>
      </c>
      <c r="AJ279" s="15"/>
      <c r="AK279" s="15" t="e">
        <f t="shared" si="84"/>
        <v>#DIV/0!</v>
      </c>
      <c r="AL279" s="15" t="e">
        <f t="shared" si="85"/>
        <v>#DIV/0!</v>
      </c>
      <c r="AM279" s="15">
        <f t="shared" si="101"/>
        <v>0</v>
      </c>
      <c r="AN279" s="15" t="e">
        <f t="shared" si="102"/>
        <v>#DIV/0!</v>
      </c>
    </row>
    <row r="280" spans="18:40" ht="13.8" x14ac:dyDescent="0.3">
      <c r="R280" s="51">
        <v>134</v>
      </c>
      <c r="S280" s="38">
        <f t="shared" si="96"/>
        <v>268</v>
      </c>
      <c r="T280" s="52">
        <f t="shared" si="86"/>
        <v>4.6774823953448035</v>
      </c>
      <c r="U280" s="52">
        <f t="shared" si="103"/>
        <v>0.71933980033865108</v>
      </c>
      <c r="V280" s="52">
        <f t="shared" si="104"/>
        <v>-0.99939082701909576</v>
      </c>
      <c r="W280" s="52">
        <f t="shared" si="97"/>
        <v>-0.69465837045899737</v>
      </c>
      <c r="X280" s="52">
        <f t="shared" si="98"/>
        <v>0</v>
      </c>
      <c r="Y280" s="15">
        <f t="shared" si="87"/>
        <v>0</v>
      </c>
      <c r="Z280" s="52">
        <f t="shared" si="88"/>
        <v>0</v>
      </c>
      <c r="AA280" s="52">
        <f t="shared" si="89"/>
        <v>0</v>
      </c>
      <c r="AB280" s="15" t="e">
        <f t="shared" si="90"/>
        <v>#DIV/0!</v>
      </c>
      <c r="AC280" s="15" t="e">
        <f t="shared" si="99"/>
        <v>#DIV/0!</v>
      </c>
      <c r="AD280" s="15" t="e">
        <f t="shared" si="91"/>
        <v>#DIV/0!</v>
      </c>
      <c r="AE280" s="15" t="e">
        <f t="shared" si="92"/>
        <v>#DIV/0!</v>
      </c>
      <c r="AF280" s="15" t="e">
        <f t="shared" si="93"/>
        <v>#DIV/0!</v>
      </c>
      <c r="AG280" s="15" t="e">
        <f t="shared" si="94"/>
        <v>#DIV/0!</v>
      </c>
      <c r="AH280" s="53" t="e">
        <f t="shared" si="95"/>
        <v>#DIV/0!</v>
      </c>
      <c r="AI280" s="102" t="e">
        <f t="shared" si="100"/>
        <v>#DIV/0!</v>
      </c>
      <c r="AJ280" s="15"/>
      <c r="AK280" s="15" t="e">
        <f t="shared" si="84"/>
        <v>#DIV/0!</v>
      </c>
      <c r="AL280" s="15" t="e">
        <f t="shared" si="85"/>
        <v>#DIV/0!</v>
      </c>
      <c r="AM280" s="15">
        <f t="shared" si="101"/>
        <v>0</v>
      </c>
      <c r="AN280" s="15" t="e">
        <f t="shared" si="102"/>
        <v>#DIV/0!</v>
      </c>
    </row>
    <row r="281" spans="18:40" ht="13.8" x14ac:dyDescent="0.3">
      <c r="R281" s="51">
        <v>134.5</v>
      </c>
      <c r="S281" s="38">
        <f t="shared" si="96"/>
        <v>269</v>
      </c>
      <c r="T281" s="52">
        <f t="shared" si="86"/>
        <v>4.6949356878647466</v>
      </c>
      <c r="U281" s="52">
        <f t="shared" si="103"/>
        <v>0.71325044915418156</v>
      </c>
      <c r="V281" s="52">
        <f t="shared" si="104"/>
        <v>-0.99984769515639127</v>
      </c>
      <c r="W281" s="52">
        <f t="shared" si="97"/>
        <v>-0.7009092642998509</v>
      </c>
      <c r="X281" s="52">
        <f t="shared" si="98"/>
        <v>0</v>
      </c>
      <c r="Y281" s="15">
        <f t="shared" si="87"/>
        <v>0</v>
      </c>
      <c r="Z281" s="52">
        <f t="shared" si="88"/>
        <v>0</v>
      </c>
      <c r="AA281" s="52">
        <f t="shared" si="89"/>
        <v>0</v>
      </c>
      <c r="AB281" s="15" t="e">
        <f t="shared" si="90"/>
        <v>#DIV/0!</v>
      </c>
      <c r="AC281" s="15" t="e">
        <f t="shared" si="99"/>
        <v>#DIV/0!</v>
      </c>
      <c r="AD281" s="15" t="e">
        <f t="shared" si="91"/>
        <v>#DIV/0!</v>
      </c>
      <c r="AE281" s="15" t="e">
        <f t="shared" si="92"/>
        <v>#DIV/0!</v>
      </c>
      <c r="AF281" s="15" t="e">
        <f t="shared" si="93"/>
        <v>#DIV/0!</v>
      </c>
      <c r="AG281" s="15" t="e">
        <f t="shared" si="94"/>
        <v>#DIV/0!</v>
      </c>
      <c r="AH281" s="53" t="e">
        <f t="shared" si="95"/>
        <v>#DIV/0!</v>
      </c>
      <c r="AI281" s="102" t="e">
        <f t="shared" si="100"/>
        <v>#DIV/0!</v>
      </c>
      <c r="AJ281" s="15"/>
      <c r="AK281" s="15" t="e">
        <f t="shared" si="84"/>
        <v>#DIV/0!</v>
      </c>
      <c r="AL281" s="15" t="e">
        <f t="shared" si="85"/>
        <v>#DIV/0!</v>
      </c>
      <c r="AM281" s="15">
        <f t="shared" si="101"/>
        <v>0</v>
      </c>
      <c r="AN281" s="15" t="e">
        <f t="shared" si="102"/>
        <v>#DIV/0!</v>
      </c>
    </row>
    <row r="282" spans="18:40" ht="13.8" x14ac:dyDescent="0.3">
      <c r="R282" s="51">
        <v>135</v>
      </c>
      <c r="S282" s="38">
        <f t="shared" si="96"/>
        <v>270</v>
      </c>
      <c r="T282" s="52">
        <f t="shared" si="86"/>
        <v>4.7123889803846897</v>
      </c>
      <c r="U282" s="52">
        <f t="shared" si="103"/>
        <v>0.70710678118654757</v>
      </c>
      <c r="V282" s="52">
        <f t="shared" si="104"/>
        <v>-1</v>
      </c>
      <c r="W282" s="52">
        <f t="shared" si="97"/>
        <v>-0.70710678118654746</v>
      </c>
      <c r="X282" s="52">
        <f t="shared" si="98"/>
        <v>0</v>
      </c>
      <c r="Y282" s="15">
        <f t="shared" si="87"/>
        <v>0</v>
      </c>
      <c r="Z282" s="52">
        <f t="shared" si="88"/>
        <v>0</v>
      </c>
      <c r="AA282" s="52">
        <f t="shared" si="89"/>
        <v>0</v>
      </c>
      <c r="AB282" s="15" t="e">
        <f t="shared" si="90"/>
        <v>#DIV/0!</v>
      </c>
      <c r="AC282" s="15" t="e">
        <f t="shared" si="99"/>
        <v>#DIV/0!</v>
      </c>
      <c r="AD282" s="15" t="e">
        <f t="shared" si="91"/>
        <v>#DIV/0!</v>
      </c>
      <c r="AE282" s="15" t="e">
        <f t="shared" si="92"/>
        <v>#DIV/0!</v>
      </c>
      <c r="AF282" s="15" t="e">
        <f t="shared" si="93"/>
        <v>#DIV/0!</v>
      </c>
      <c r="AG282" s="15" t="e">
        <f t="shared" si="94"/>
        <v>#DIV/0!</v>
      </c>
      <c r="AH282" s="53" t="e">
        <f t="shared" si="95"/>
        <v>#DIV/0!</v>
      </c>
      <c r="AI282" s="102" t="e">
        <f t="shared" si="100"/>
        <v>#DIV/0!</v>
      </c>
      <c r="AJ282" s="15"/>
      <c r="AK282" s="15" t="e">
        <f t="shared" si="84"/>
        <v>#DIV/0!</v>
      </c>
      <c r="AL282" s="15" t="e">
        <f t="shared" si="85"/>
        <v>#DIV/0!</v>
      </c>
      <c r="AM282" s="15">
        <f t="shared" si="101"/>
        <v>0</v>
      </c>
      <c r="AN282" s="15" t="e">
        <f t="shared" si="102"/>
        <v>#DIV/0!</v>
      </c>
    </row>
    <row r="283" spans="18:40" ht="13.8" x14ac:dyDescent="0.3">
      <c r="R283" s="51">
        <v>135.5</v>
      </c>
      <c r="S283" s="38">
        <f t="shared" si="96"/>
        <v>271</v>
      </c>
      <c r="T283" s="52">
        <f t="shared" si="86"/>
        <v>4.7298422729046328</v>
      </c>
      <c r="U283" s="52">
        <f t="shared" si="103"/>
        <v>0.70090926429985101</v>
      </c>
      <c r="V283" s="52">
        <f t="shared" si="104"/>
        <v>-0.99984769515639127</v>
      </c>
      <c r="W283" s="52">
        <f t="shared" si="97"/>
        <v>-0.71325044915418145</v>
      </c>
      <c r="X283" s="52">
        <f t="shared" si="98"/>
        <v>0</v>
      </c>
      <c r="Y283" s="15">
        <f t="shared" si="87"/>
        <v>0</v>
      </c>
      <c r="Z283" s="52">
        <f t="shared" si="88"/>
        <v>0</v>
      </c>
      <c r="AA283" s="52">
        <f t="shared" si="89"/>
        <v>0</v>
      </c>
      <c r="AB283" s="15" t="e">
        <f t="shared" si="90"/>
        <v>#DIV/0!</v>
      </c>
      <c r="AC283" s="15" t="e">
        <f t="shared" si="99"/>
        <v>#DIV/0!</v>
      </c>
      <c r="AD283" s="15" t="e">
        <f t="shared" si="91"/>
        <v>#DIV/0!</v>
      </c>
      <c r="AE283" s="15" t="e">
        <f t="shared" si="92"/>
        <v>#DIV/0!</v>
      </c>
      <c r="AF283" s="15" t="e">
        <f t="shared" si="93"/>
        <v>#DIV/0!</v>
      </c>
      <c r="AG283" s="15" t="e">
        <f t="shared" si="94"/>
        <v>#DIV/0!</v>
      </c>
      <c r="AH283" s="53" t="e">
        <f t="shared" si="95"/>
        <v>#DIV/0!</v>
      </c>
      <c r="AI283" s="102" t="e">
        <f t="shared" si="100"/>
        <v>#DIV/0!</v>
      </c>
      <c r="AJ283" s="15"/>
      <c r="AK283" s="15" t="e">
        <f t="shared" si="84"/>
        <v>#DIV/0!</v>
      </c>
      <c r="AL283" s="15" t="e">
        <f t="shared" si="85"/>
        <v>#DIV/0!</v>
      </c>
      <c r="AM283" s="15">
        <f t="shared" si="101"/>
        <v>0</v>
      </c>
      <c r="AN283" s="15" t="e">
        <f t="shared" si="102"/>
        <v>#DIV/0!</v>
      </c>
    </row>
    <row r="284" spans="18:40" ht="13.8" x14ac:dyDescent="0.3">
      <c r="R284" s="51">
        <v>136</v>
      </c>
      <c r="S284" s="38">
        <f t="shared" si="96"/>
        <v>272</v>
      </c>
      <c r="T284" s="52">
        <f t="shared" si="86"/>
        <v>4.7472955654245768</v>
      </c>
      <c r="U284" s="52">
        <f t="shared" si="103"/>
        <v>0.69465837045899714</v>
      </c>
      <c r="V284" s="52">
        <f t="shared" si="104"/>
        <v>-0.99939082701909576</v>
      </c>
      <c r="W284" s="52">
        <f t="shared" si="97"/>
        <v>-0.71933980033865119</v>
      </c>
      <c r="X284" s="52">
        <f t="shared" si="98"/>
        <v>0</v>
      </c>
      <c r="Y284" s="15">
        <f t="shared" si="87"/>
        <v>0</v>
      </c>
      <c r="Z284" s="52">
        <f t="shared" si="88"/>
        <v>0</v>
      </c>
      <c r="AA284" s="52">
        <f t="shared" si="89"/>
        <v>0</v>
      </c>
      <c r="AB284" s="15" t="e">
        <f t="shared" si="90"/>
        <v>#DIV/0!</v>
      </c>
      <c r="AC284" s="15" t="e">
        <f t="shared" si="99"/>
        <v>#DIV/0!</v>
      </c>
      <c r="AD284" s="15" t="e">
        <f t="shared" si="91"/>
        <v>#DIV/0!</v>
      </c>
      <c r="AE284" s="15" t="e">
        <f t="shared" si="92"/>
        <v>#DIV/0!</v>
      </c>
      <c r="AF284" s="15" t="e">
        <f t="shared" si="93"/>
        <v>#DIV/0!</v>
      </c>
      <c r="AG284" s="15" t="e">
        <f t="shared" si="94"/>
        <v>#DIV/0!</v>
      </c>
      <c r="AH284" s="53" t="e">
        <f t="shared" si="95"/>
        <v>#DIV/0!</v>
      </c>
      <c r="AI284" s="102" t="e">
        <f t="shared" si="100"/>
        <v>#DIV/0!</v>
      </c>
      <c r="AJ284" s="15"/>
      <c r="AK284" s="15" t="e">
        <f t="shared" si="84"/>
        <v>#DIV/0!</v>
      </c>
      <c r="AL284" s="15" t="e">
        <f t="shared" si="85"/>
        <v>#DIV/0!</v>
      </c>
      <c r="AM284" s="15">
        <f t="shared" si="101"/>
        <v>0</v>
      </c>
      <c r="AN284" s="15" t="e">
        <f t="shared" si="102"/>
        <v>#DIV/0!</v>
      </c>
    </row>
    <row r="285" spans="18:40" ht="13.8" x14ac:dyDescent="0.3">
      <c r="R285" s="51">
        <v>136.5</v>
      </c>
      <c r="S285" s="38">
        <f t="shared" si="96"/>
        <v>273</v>
      </c>
      <c r="T285" s="52">
        <f t="shared" si="86"/>
        <v>4.7647488579445199</v>
      </c>
      <c r="U285" s="52">
        <f t="shared" si="103"/>
        <v>0.68835457569375391</v>
      </c>
      <c r="V285" s="52">
        <f t="shared" si="104"/>
        <v>-0.99862953475457383</v>
      </c>
      <c r="W285" s="52">
        <f t="shared" si="97"/>
        <v>-0.72537437101228763</v>
      </c>
      <c r="X285" s="52">
        <f t="shared" si="98"/>
        <v>0</v>
      </c>
      <c r="Y285" s="15">
        <f t="shared" si="87"/>
        <v>0</v>
      </c>
      <c r="Z285" s="52">
        <f t="shared" si="88"/>
        <v>0</v>
      </c>
      <c r="AA285" s="52">
        <f t="shared" si="89"/>
        <v>0</v>
      </c>
      <c r="AB285" s="15" t="e">
        <f t="shared" si="90"/>
        <v>#DIV/0!</v>
      </c>
      <c r="AC285" s="15" t="e">
        <f t="shared" si="99"/>
        <v>#DIV/0!</v>
      </c>
      <c r="AD285" s="15" t="e">
        <f t="shared" si="91"/>
        <v>#DIV/0!</v>
      </c>
      <c r="AE285" s="15" t="e">
        <f t="shared" si="92"/>
        <v>#DIV/0!</v>
      </c>
      <c r="AF285" s="15" t="e">
        <f t="shared" si="93"/>
        <v>#DIV/0!</v>
      </c>
      <c r="AG285" s="15" t="e">
        <f t="shared" si="94"/>
        <v>#DIV/0!</v>
      </c>
      <c r="AH285" s="53" t="e">
        <f t="shared" si="95"/>
        <v>#DIV/0!</v>
      </c>
      <c r="AI285" s="102" t="e">
        <f t="shared" si="100"/>
        <v>#DIV/0!</v>
      </c>
      <c r="AJ285" s="15"/>
      <c r="AK285" s="15" t="e">
        <f t="shared" si="84"/>
        <v>#DIV/0!</v>
      </c>
      <c r="AL285" s="15" t="e">
        <f t="shared" si="85"/>
        <v>#DIV/0!</v>
      </c>
      <c r="AM285" s="15">
        <f t="shared" si="101"/>
        <v>0</v>
      </c>
      <c r="AN285" s="15" t="e">
        <f t="shared" si="102"/>
        <v>#DIV/0!</v>
      </c>
    </row>
    <row r="286" spans="18:40" ht="13.8" x14ac:dyDescent="0.3">
      <c r="R286" s="51">
        <v>137</v>
      </c>
      <c r="S286" s="38">
        <f t="shared" si="96"/>
        <v>274</v>
      </c>
      <c r="T286" s="52">
        <f t="shared" si="86"/>
        <v>4.782202150464463</v>
      </c>
      <c r="U286" s="52">
        <f t="shared" si="103"/>
        <v>0.68199836006249859</v>
      </c>
      <c r="V286" s="52">
        <f t="shared" si="104"/>
        <v>-0.99756405025982431</v>
      </c>
      <c r="W286" s="52">
        <f t="shared" si="97"/>
        <v>-0.73135370161917046</v>
      </c>
      <c r="X286" s="52">
        <f t="shared" si="98"/>
        <v>0</v>
      </c>
      <c r="Y286" s="15">
        <f t="shared" si="87"/>
        <v>0</v>
      </c>
      <c r="Z286" s="52">
        <f t="shared" si="88"/>
        <v>0</v>
      </c>
      <c r="AA286" s="52">
        <f t="shared" si="89"/>
        <v>0</v>
      </c>
      <c r="AB286" s="15" t="e">
        <f t="shared" si="90"/>
        <v>#DIV/0!</v>
      </c>
      <c r="AC286" s="15" t="e">
        <f t="shared" si="99"/>
        <v>#DIV/0!</v>
      </c>
      <c r="AD286" s="15" t="e">
        <f t="shared" si="91"/>
        <v>#DIV/0!</v>
      </c>
      <c r="AE286" s="15" t="e">
        <f t="shared" si="92"/>
        <v>#DIV/0!</v>
      </c>
      <c r="AF286" s="15" t="e">
        <f t="shared" si="93"/>
        <v>#DIV/0!</v>
      </c>
      <c r="AG286" s="15" t="e">
        <f t="shared" si="94"/>
        <v>#DIV/0!</v>
      </c>
      <c r="AH286" s="53" t="e">
        <f t="shared" si="95"/>
        <v>#DIV/0!</v>
      </c>
      <c r="AI286" s="102" t="e">
        <f t="shared" si="100"/>
        <v>#DIV/0!</v>
      </c>
      <c r="AJ286" s="15"/>
      <c r="AK286" s="15" t="e">
        <f t="shared" si="84"/>
        <v>#DIV/0!</v>
      </c>
      <c r="AL286" s="15" t="e">
        <f t="shared" si="85"/>
        <v>#DIV/0!</v>
      </c>
      <c r="AM286" s="15">
        <f t="shared" si="101"/>
        <v>0</v>
      </c>
      <c r="AN286" s="15" t="e">
        <f t="shared" si="102"/>
        <v>#DIV/0!</v>
      </c>
    </row>
    <row r="287" spans="18:40" ht="13.8" x14ac:dyDescent="0.3">
      <c r="R287" s="51">
        <v>137.5</v>
      </c>
      <c r="S287" s="38">
        <f t="shared" si="96"/>
        <v>275</v>
      </c>
      <c r="T287" s="52">
        <f t="shared" si="86"/>
        <v>4.7996554429844061</v>
      </c>
      <c r="U287" s="52">
        <f t="shared" si="103"/>
        <v>0.67559020761566035</v>
      </c>
      <c r="V287" s="52">
        <f t="shared" si="104"/>
        <v>-0.99619469809174555</v>
      </c>
      <c r="W287" s="52">
        <f t="shared" si="97"/>
        <v>-0.73727733681012397</v>
      </c>
      <c r="X287" s="52">
        <f t="shared" si="98"/>
        <v>0</v>
      </c>
      <c r="Y287" s="15">
        <f t="shared" si="87"/>
        <v>0</v>
      </c>
      <c r="Z287" s="52">
        <f t="shared" si="88"/>
        <v>0</v>
      </c>
      <c r="AA287" s="52">
        <f t="shared" si="89"/>
        <v>0</v>
      </c>
      <c r="AB287" s="15" t="e">
        <f t="shared" si="90"/>
        <v>#DIV/0!</v>
      </c>
      <c r="AC287" s="15" t="e">
        <f t="shared" si="99"/>
        <v>#DIV/0!</v>
      </c>
      <c r="AD287" s="15" t="e">
        <f t="shared" si="91"/>
        <v>#DIV/0!</v>
      </c>
      <c r="AE287" s="15" t="e">
        <f t="shared" si="92"/>
        <v>#DIV/0!</v>
      </c>
      <c r="AF287" s="15" t="e">
        <f t="shared" si="93"/>
        <v>#DIV/0!</v>
      </c>
      <c r="AG287" s="15" t="e">
        <f t="shared" si="94"/>
        <v>#DIV/0!</v>
      </c>
      <c r="AH287" s="53" t="e">
        <f t="shared" si="95"/>
        <v>#DIV/0!</v>
      </c>
      <c r="AI287" s="102" t="e">
        <f t="shared" si="100"/>
        <v>#DIV/0!</v>
      </c>
      <c r="AJ287" s="15"/>
      <c r="AK287" s="15" t="e">
        <f t="shared" si="84"/>
        <v>#DIV/0!</v>
      </c>
      <c r="AL287" s="15" t="e">
        <f t="shared" si="85"/>
        <v>#DIV/0!</v>
      </c>
      <c r="AM287" s="15">
        <f t="shared" si="101"/>
        <v>0</v>
      </c>
      <c r="AN287" s="15" t="e">
        <f t="shared" si="102"/>
        <v>#DIV/0!</v>
      </c>
    </row>
    <row r="288" spans="18:40" ht="13.8" x14ac:dyDescent="0.3">
      <c r="R288" s="51">
        <v>138</v>
      </c>
      <c r="S288" s="38">
        <f t="shared" si="96"/>
        <v>276</v>
      </c>
      <c r="T288" s="52">
        <f t="shared" si="86"/>
        <v>4.8171087355043491</v>
      </c>
      <c r="U288" s="52">
        <f t="shared" si="103"/>
        <v>0.66913060635885835</v>
      </c>
      <c r="V288" s="52">
        <f t="shared" si="104"/>
        <v>-0.9945218953682734</v>
      </c>
      <c r="W288" s="52">
        <f t="shared" si="97"/>
        <v>-0.74314482547739402</v>
      </c>
      <c r="X288" s="52">
        <f t="shared" si="98"/>
        <v>0</v>
      </c>
      <c r="Y288" s="15">
        <f t="shared" si="87"/>
        <v>0</v>
      </c>
      <c r="Z288" s="52">
        <f t="shared" si="88"/>
        <v>0</v>
      </c>
      <c r="AA288" s="52">
        <f t="shared" si="89"/>
        <v>0</v>
      </c>
      <c r="AB288" s="15" t="e">
        <f t="shared" si="90"/>
        <v>#DIV/0!</v>
      </c>
      <c r="AC288" s="15" t="e">
        <f t="shared" si="99"/>
        <v>#DIV/0!</v>
      </c>
      <c r="AD288" s="15" t="e">
        <f t="shared" si="91"/>
        <v>#DIV/0!</v>
      </c>
      <c r="AE288" s="15" t="e">
        <f t="shared" si="92"/>
        <v>#DIV/0!</v>
      </c>
      <c r="AF288" s="15" t="e">
        <f t="shared" si="93"/>
        <v>#DIV/0!</v>
      </c>
      <c r="AG288" s="15" t="e">
        <f t="shared" si="94"/>
        <v>#DIV/0!</v>
      </c>
      <c r="AH288" s="53" t="e">
        <f t="shared" si="95"/>
        <v>#DIV/0!</v>
      </c>
      <c r="AI288" s="102" t="e">
        <f t="shared" si="100"/>
        <v>#DIV/0!</v>
      </c>
      <c r="AJ288" s="15"/>
      <c r="AK288" s="15" t="e">
        <f t="shared" si="84"/>
        <v>#DIV/0!</v>
      </c>
      <c r="AL288" s="15" t="e">
        <f t="shared" si="85"/>
        <v>#DIV/0!</v>
      </c>
      <c r="AM288" s="15">
        <f t="shared" si="101"/>
        <v>0</v>
      </c>
      <c r="AN288" s="15" t="e">
        <f t="shared" si="102"/>
        <v>#DIV/0!</v>
      </c>
    </row>
    <row r="289" spans="18:40" ht="13.8" x14ac:dyDescent="0.3">
      <c r="R289" s="51">
        <v>138.5</v>
      </c>
      <c r="S289" s="38">
        <f t="shared" si="96"/>
        <v>277</v>
      </c>
      <c r="T289" s="52">
        <f t="shared" si="86"/>
        <v>4.8345620280242931</v>
      </c>
      <c r="U289" s="52">
        <f t="shared" si="103"/>
        <v>0.66262004821573739</v>
      </c>
      <c r="V289" s="52">
        <f t="shared" si="104"/>
        <v>-0.99254615164132198</v>
      </c>
      <c r="W289" s="52">
        <f t="shared" si="97"/>
        <v>-0.74895572078900219</v>
      </c>
      <c r="X289" s="52">
        <f t="shared" si="98"/>
        <v>0</v>
      </c>
      <c r="Y289" s="15">
        <f t="shared" si="87"/>
        <v>0</v>
      </c>
      <c r="Z289" s="52">
        <f t="shared" si="88"/>
        <v>0</v>
      </c>
      <c r="AA289" s="52">
        <f t="shared" si="89"/>
        <v>0</v>
      </c>
      <c r="AB289" s="15" t="e">
        <f t="shared" si="90"/>
        <v>#DIV/0!</v>
      </c>
      <c r="AC289" s="15" t="e">
        <f t="shared" si="99"/>
        <v>#DIV/0!</v>
      </c>
      <c r="AD289" s="15" t="e">
        <f t="shared" si="91"/>
        <v>#DIV/0!</v>
      </c>
      <c r="AE289" s="15" t="e">
        <f t="shared" si="92"/>
        <v>#DIV/0!</v>
      </c>
      <c r="AF289" s="15" t="e">
        <f t="shared" si="93"/>
        <v>#DIV/0!</v>
      </c>
      <c r="AG289" s="15" t="e">
        <f t="shared" si="94"/>
        <v>#DIV/0!</v>
      </c>
      <c r="AH289" s="53" t="e">
        <f t="shared" si="95"/>
        <v>#DIV/0!</v>
      </c>
      <c r="AI289" s="102" t="e">
        <f t="shared" si="100"/>
        <v>#DIV/0!</v>
      </c>
      <c r="AJ289" s="15"/>
      <c r="AK289" s="15" t="e">
        <f t="shared" si="84"/>
        <v>#DIV/0!</v>
      </c>
      <c r="AL289" s="15" t="e">
        <f t="shared" si="85"/>
        <v>#DIV/0!</v>
      </c>
      <c r="AM289" s="15">
        <f t="shared" si="101"/>
        <v>0</v>
      </c>
      <c r="AN289" s="15" t="e">
        <f t="shared" si="102"/>
        <v>#DIV/0!</v>
      </c>
    </row>
    <row r="290" spans="18:40" ht="13.8" x14ac:dyDescent="0.3">
      <c r="R290" s="51">
        <v>139</v>
      </c>
      <c r="S290" s="38">
        <f t="shared" si="96"/>
        <v>278</v>
      </c>
      <c r="T290" s="52">
        <f t="shared" si="86"/>
        <v>4.8520153205442362</v>
      </c>
      <c r="U290" s="52">
        <f t="shared" si="103"/>
        <v>0.65605902899050728</v>
      </c>
      <c r="V290" s="52">
        <f t="shared" si="104"/>
        <v>-0.99026806874157036</v>
      </c>
      <c r="W290" s="52">
        <f t="shared" si="97"/>
        <v>-0.75470958022277201</v>
      </c>
      <c r="X290" s="52">
        <f t="shared" si="98"/>
        <v>0</v>
      </c>
      <c r="Y290" s="15">
        <f t="shared" si="87"/>
        <v>0</v>
      </c>
      <c r="Z290" s="52">
        <f t="shared" si="88"/>
        <v>0</v>
      </c>
      <c r="AA290" s="52">
        <f t="shared" si="89"/>
        <v>0</v>
      </c>
      <c r="AB290" s="15" t="e">
        <f t="shared" si="90"/>
        <v>#DIV/0!</v>
      </c>
      <c r="AC290" s="15" t="e">
        <f t="shared" si="99"/>
        <v>#DIV/0!</v>
      </c>
      <c r="AD290" s="15" t="e">
        <f t="shared" si="91"/>
        <v>#DIV/0!</v>
      </c>
      <c r="AE290" s="15" t="e">
        <f t="shared" si="92"/>
        <v>#DIV/0!</v>
      </c>
      <c r="AF290" s="15" t="e">
        <f t="shared" si="93"/>
        <v>#DIV/0!</v>
      </c>
      <c r="AG290" s="15" t="e">
        <f t="shared" si="94"/>
        <v>#DIV/0!</v>
      </c>
      <c r="AH290" s="53" t="e">
        <f t="shared" si="95"/>
        <v>#DIV/0!</v>
      </c>
      <c r="AI290" s="102" t="e">
        <f t="shared" si="100"/>
        <v>#DIV/0!</v>
      </c>
      <c r="AJ290" s="15"/>
      <c r="AK290" s="15" t="e">
        <f t="shared" si="84"/>
        <v>#DIV/0!</v>
      </c>
      <c r="AL290" s="15" t="e">
        <f t="shared" si="85"/>
        <v>#DIV/0!</v>
      </c>
      <c r="AM290" s="15">
        <f t="shared" si="101"/>
        <v>0</v>
      </c>
      <c r="AN290" s="15" t="e">
        <f t="shared" si="102"/>
        <v>#DIV/0!</v>
      </c>
    </row>
    <row r="291" spans="18:40" ht="13.8" x14ac:dyDescent="0.3">
      <c r="R291" s="51">
        <v>139.5</v>
      </c>
      <c r="S291" s="38">
        <f t="shared" si="96"/>
        <v>279</v>
      </c>
      <c r="T291" s="52">
        <f t="shared" si="86"/>
        <v>4.8694686130641793</v>
      </c>
      <c r="U291" s="52">
        <f t="shared" si="103"/>
        <v>0.64944804833018377</v>
      </c>
      <c r="V291" s="52">
        <f t="shared" si="104"/>
        <v>-0.98768834059513777</v>
      </c>
      <c r="W291" s="52">
        <f t="shared" si="97"/>
        <v>-0.76040596560003093</v>
      </c>
      <c r="X291" s="52">
        <f t="shared" si="98"/>
        <v>0</v>
      </c>
      <c r="Y291" s="15">
        <f t="shared" si="87"/>
        <v>0</v>
      </c>
      <c r="Z291" s="52">
        <f t="shared" si="88"/>
        <v>0</v>
      </c>
      <c r="AA291" s="52">
        <f t="shared" si="89"/>
        <v>0</v>
      </c>
      <c r="AB291" s="15" t="e">
        <f t="shared" si="90"/>
        <v>#DIV/0!</v>
      </c>
      <c r="AC291" s="15" t="e">
        <f t="shared" si="99"/>
        <v>#DIV/0!</v>
      </c>
      <c r="AD291" s="15" t="e">
        <f t="shared" si="91"/>
        <v>#DIV/0!</v>
      </c>
      <c r="AE291" s="15" t="e">
        <f t="shared" si="92"/>
        <v>#DIV/0!</v>
      </c>
      <c r="AF291" s="15" t="e">
        <f t="shared" si="93"/>
        <v>#DIV/0!</v>
      </c>
      <c r="AG291" s="15" t="e">
        <f t="shared" si="94"/>
        <v>#DIV/0!</v>
      </c>
      <c r="AH291" s="53" t="e">
        <f t="shared" si="95"/>
        <v>#DIV/0!</v>
      </c>
      <c r="AI291" s="102" t="e">
        <f t="shared" si="100"/>
        <v>#DIV/0!</v>
      </c>
      <c r="AJ291" s="15"/>
      <c r="AK291" s="15" t="e">
        <f t="shared" si="84"/>
        <v>#DIV/0!</v>
      </c>
      <c r="AL291" s="15" t="e">
        <f t="shared" si="85"/>
        <v>#DIV/0!</v>
      </c>
      <c r="AM291" s="15">
        <f t="shared" si="101"/>
        <v>0</v>
      </c>
      <c r="AN291" s="15" t="e">
        <f t="shared" si="102"/>
        <v>#DIV/0!</v>
      </c>
    </row>
    <row r="292" spans="18:40" ht="13.8" x14ac:dyDescent="0.3">
      <c r="R292" s="51">
        <v>140</v>
      </c>
      <c r="S292" s="38">
        <f t="shared" si="96"/>
        <v>280</v>
      </c>
      <c r="T292" s="52">
        <f t="shared" si="86"/>
        <v>4.8869219055841224</v>
      </c>
      <c r="U292" s="52">
        <f t="shared" si="103"/>
        <v>0.64278760968653947</v>
      </c>
      <c r="V292" s="52">
        <f t="shared" si="104"/>
        <v>-0.98480775301220813</v>
      </c>
      <c r="W292" s="52">
        <f t="shared" si="97"/>
        <v>-0.7660444431189779</v>
      </c>
      <c r="X292" s="52">
        <f t="shared" si="98"/>
        <v>0</v>
      </c>
      <c r="Y292" s="15">
        <f t="shared" si="87"/>
        <v>0</v>
      </c>
      <c r="Z292" s="52">
        <f t="shared" si="88"/>
        <v>0</v>
      </c>
      <c r="AA292" s="52">
        <f t="shared" si="89"/>
        <v>0</v>
      </c>
      <c r="AB292" s="15" t="e">
        <f t="shared" si="90"/>
        <v>#DIV/0!</v>
      </c>
      <c r="AC292" s="15" t="e">
        <f t="shared" si="99"/>
        <v>#DIV/0!</v>
      </c>
      <c r="AD292" s="15" t="e">
        <f t="shared" si="91"/>
        <v>#DIV/0!</v>
      </c>
      <c r="AE292" s="15" t="e">
        <f t="shared" si="92"/>
        <v>#DIV/0!</v>
      </c>
      <c r="AF292" s="15" t="e">
        <f t="shared" si="93"/>
        <v>#DIV/0!</v>
      </c>
      <c r="AG292" s="15" t="e">
        <f t="shared" si="94"/>
        <v>#DIV/0!</v>
      </c>
      <c r="AH292" s="53" t="e">
        <f t="shared" si="95"/>
        <v>#DIV/0!</v>
      </c>
      <c r="AI292" s="102" t="e">
        <f t="shared" si="100"/>
        <v>#DIV/0!</v>
      </c>
      <c r="AJ292" s="15"/>
      <c r="AK292" s="15" t="e">
        <f t="shared" si="84"/>
        <v>#DIV/0!</v>
      </c>
      <c r="AL292" s="15" t="e">
        <f t="shared" si="85"/>
        <v>#DIV/0!</v>
      </c>
      <c r="AM292" s="15">
        <f t="shared" si="101"/>
        <v>0</v>
      </c>
      <c r="AN292" s="15" t="e">
        <f t="shared" si="102"/>
        <v>#DIV/0!</v>
      </c>
    </row>
    <row r="293" spans="18:40" ht="13.8" x14ac:dyDescent="0.3">
      <c r="R293" s="51">
        <v>140.5</v>
      </c>
      <c r="S293" s="38">
        <f t="shared" si="96"/>
        <v>281</v>
      </c>
      <c r="T293" s="52">
        <f t="shared" si="86"/>
        <v>4.9043751981040664</v>
      </c>
      <c r="U293" s="52">
        <f t="shared" si="103"/>
        <v>0.63607822027776384</v>
      </c>
      <c r="V293" s="52">
        <f t="shared" si="104"/>
        <v>-0.98162718344766386</v>
      </c>
      <c r="W293" s="52">
        <f t="shared" si="97"/>
        <v>-0.77162458338772011</v>
      </c>
      <c r="X293" s="52">
        <f t="shared" si="98"/>
        <v>0</v>
      </c>
      <c r="Y293" s="15">
        <f t="shared" si="87"/>
        <v>0</v>
      </c>
      <c r="Z293" s="52">
        <f t="shared" si="88"/>
        <v>0</v>
      </c>
      <c r="AA293" s="52">
        <f t="shared" si="89"/>
        <v>0</v>
      </c>
      <c r="AB293" s="15" t="e">
        <f t="shared" si="90"/>
        <v>#DIV/0!</v>
      </c>
      <c r="AC293" s="15" t="e">
        <f t="shared" si="99"/>
        <v>#DIV/0!</v>
      </c>
      <c r="AD293" s="15" t="e">
        <f t="shared" si="91"/>
        <v>#DIV/0!</v>
      </c>
      <c r="AE293" s="15" t="e">
        <f t="shared" si="92"/>
        <v>#DIV/0!</v>
      </c>
      <c r="AF293" s="15" t="e">
        <f t="shared" si="93"/>
        <v>#DIV/0!</v>
      </c>
      <c r="AG293" s="15" t="e">
        <f t="shared" si="94"/>
        <v>#DIV/0!</v>
      </c>
      <c r="AH293" s="53" t="e">
        <f t="shared" si="95"/>
        <v>#DIV/0!</v>
      </c>
      <c r="AI293" s="102" t="e">
        <f t="shared" si="100"/>
        <v>#DIV/0!</v>
      </c>
      <c r="AJ293" s="15"/>
      <c r="AK293" s="15" t="e">
        <f t="shared" si="84"/>
        <v>#DIV/0!</v>
      </c>
      <c r="AL293" s="15" t="e">
        <f t="shared" si="85"/>
        <v>#DIV/0!</v>
      </c>
      <c r="AM293" s="15">
        <f t="shared" si="101"/>
        <v>0</v>
      </c>
      <c r="AN293" s="15" t="e">
        <f t="shared" si="102"/>
        <v>#DIV/0!</v>
      </c>
    </row>
    <row r="294" spans="18:40" ht="13.8" x14ac:dyDescent="0.3">
      <c r="R294" s="51">
        <v>141</v>
      </c>
      <c r="S294" s="38">
        <f t="shared" si="96"/>
        <v>282</v>
      </c>
      <c r="T294" s="52">
        <f t="shared" si="86"/>
        <v>4.9218284906240095</v>
      </c>
      <c r="U294" s="52">
        <f t="shared" si="103"/>
        <v>0.62932039104983739</v>
      </c>
      <c r="V294" s="52">
        <f t="shared" si="104"/>
        <v>-0.97814760073380558</v>
      </c>
      <c r="W294" s="52">
        <f t="shared" si="97"/>
        <v>-0.7771459614569709</v>
      </c>
      <c r="X294" s="52">
        <f t="shared" si="98"/>
        <v>0</v>
      </c>
      <c r="Y294" s="15">
        <f t="shared" si="87"/>
        <v>0</v>
      </c>
      <c r="Z294" s="52">
        <f t="shared" si="88"/>
        <v>0</v>
      </c>
      <c r="AA294" s="52">
        <f t="shared" si="89"/>
        <v>0</v>
      </c>
      <c r="AB294" s="15" t="e">
        <f t="shared" si="90"/>
        <v>#DIV/0!</v>
      </c>
      <c r="AC294" s="15" t="e">
        <f t="shared" si="99"/>
        <v>#DIV/0!</v>
      </c>
      <c r="AD294" s="15" t="e">
        <f t="shared" si="91"/>
        <v>#DIV/0!</v>
      </c>
      <c r="AE294" s="15" t="e">
        <f t="shared" si="92"/>
        <v>#DIV/0!</v>
      </c>
      <c r="AF294" s="15" t="e">
        <f t="shared" si="93"/>
        <v>#DIV/0!</v>
      </c>
      <c r="AG294" s="15" t="e">
        <f t="shared" si="94"/>
        <v>#DIV/0!</v>
      </c>
      <c r="AH294" s="53" t="e">
        <f t="shared" si="95"/>
        <v>#DIV/0!</v>
      </c>
      <c r="AI294" s="102" t="e">
        <f t="shared" si="100"/>
        <v>#DIV/0!</v>
      </c>
      <c r="AJ294" s="15"/>
      <c r="AK294" s="15" t="e">
        <f t="shared" ref="AK294:AK357" si="105">AH294</f>
        <v>#DIV/0!</v>
      </c>
      <c r="AL294" s="15" t="e">
        <f t="shared" ref="AL294:AL357" si="106">AB294</f>
        <v>#DIV/0!</v>
      </c>
      <c r="AM294" s="15">
        <f t="shared" si="101"/>
        <v>0</v>
      </c>
      <c r="AN294" s="15" t="e">
        <f t="shared" si="102"/>
        <v>#DIV/0!</v>
      </c>
    </row>
    <row r="295" spans="18:40" ht="13.8" x14ac:dyDescent="0.3">
      <c r="R295" s="51">
        <v>141.5</v>
      </c>
      <c r="S295" s="38">
        <f t="shared" si="96"/>
        <v>283</v>
      </c>
      <c r="T295" s="52">
        <f t="shared" si="86"/>
        <v>4.9392817831439526</v>
      </c>
      <c r="U295" s="52">
        <f t="shared" si="103"/>
        <v>0.62251463663761963</v>
      </c>
      <c r="V295" s="52">
        <f t="shared" si="104"/>
        <v>-0.97437006478523525</v>
      </c>
      <c r="W295" s="52">
        <f t="shared" si="97"/>
        <v>-0.78260815685241392</v>
      </c>
      <c r="X295" s="52">
        <f t="shared" si="98"/>
        <v>0</v>
      </c>
      <c r="Y295" s="15">
        <f t="shared" si="87"/>
        <v>0</v>
      </c>
      <c r="Z295" s="52">
        <f t="shared" si="88"/>
        <v>0</v>
      </c>
      <c r="AA295" s="52">
        <f t="shared" si="89"/>
        <v>0</v>
      </c>
      <c r="AB295" s="15" t="e">
        <f t="shared" si="90"/>
        <v>#DIV/0!</v>
      </c>
      <c r="AC295" s="15" t="e">
        <f t="shared" si="99"/>
        <v>#DIV/0!</v>
      </c>
      <c r="AD295" s="15" t="e">
        <f t="shared" si="91"/>
        <v>#DIV/0!</v>
      </c>
      <c r="AE295" s="15" t="e">
        <f t="shared" si="92"/>
        <v>#DIV/0!</v>
      </c>
      <c r="AF295" s="15" t="e">
        <f t="shared" si="93"/>
        <v>#DIV/0!</v>
      </c>
      <c r="AG295" s="15" t="e">
        <f t="shared" si="94"/>
        <v>#DIV/0!</v>
      </c>
      <c r="AH295" s="53" t="e">
        <f t="shared" si="95"/>
        <v>#DIV/0!</v>
      </c>
      <c r="AI295" s="102" t="e">
        <f t="shared" si="100"/>
        <v>#DIV/0!</v>
      </c>
      <c r="AJ295" s="15"/>
      <c r="AK295" s="15" t="e">
        <f t="shared" si="105"/>
        <v>#DIV/0!</v>
      </c>
      <c r="AL295" s="15" t="e">
        <f t="shared" si="106"/>
        <v>#DIV/0!</v>
      </c>
      <c r="AM295" s="15">
        <f t="shared" si="101"/>
        <v>0</v>
      </c>
      <c r="AN295" s="15" t="e">
        <f t="shared" si="102"/>
        <v>#DIV/0!</v>
      </c>
    </row>
    <row r="296" spans="18:40" ht="13.8" x14ac:dyDescent="0.3">
      <c r="R296" s="51">
        <v>142</v>
      </c>
      <c r="S296" s="38">
        <f t="shared" si="96"/>
        <v>284</v>
      </c>
      <c r="T296" s="52">
        <f t="shared" si="86"/>
        <v>4.9567350756638957</v>
      </c>
      <c r="U296" s="52">
        <f t="shared" si="103"/>
        <v>0.6156614753256584</v>
      </c>
      <c r="V296" s="52">
        <f t="shared" si="104"/>
        <v>-0.97029572627599658</v>
      </c>
      <c r="W296" s="52">
        <f t="shared" si="97"/>
        <v>-0.7880107536067219</v>
      </c>
      <c r="X296" s="52">
        <f t="shared" si="98"/>
        <v>0</v>
      </c>
      <c r="Y296" s="15">
        <f t="shared" si="87"/>
        <v>0</v>
      </c>
      <c r="Z296" s="52">
        <f t="shared" si="88"/>
        <v>0</v>
      </c>
      <c r="AA296" s="52">
        <f t="shared" si="89"/>
        <v>0</v>
      </c>
      <c r="AB296" s="15" t="e">
        <f t="shared" si="90"/>
        <v>#DIV/0!</v>
      </c>
      <c r="AC296" s="15" t="e">
        <f t="shared" si="99"/>
        <v>#DIV/0!</v>
      </c>
      <c r="AD296" s="15" t="e">
        <f t="shared" si="91"/>
        <v>#DIV/0!</v>
      </c>
      <c r="AE296" s="15" t="e">
        <f t="shared" si="92"/>
        <v>#DIV/0!</v>
      </c>
      <c r="AF296" s="15" t="e">
        <f t="shared" si="93"/>
        <v>#DIV/0!</v>
      </c>
      <c r="AG296" s="15" t="e">
        <f t="shared" si="94"/>
        <v>#DIV/0!</v>
      </c>
      <c r="AH296" s="53" t="e">
        <f t="shared" si="95"/>
        <v>#DIV/0!</v>
      </c>
      <c r="AI296" s="102" t="e">
        <f t="shared" si="100"/>
        <v>#DIV/0!</v>
      </c>
      <c r="AJ296" s="15"/>
      <c r="AK296" s="15" t="e">
        <f t="shared" si="105"/>
        <v>#DIV/0!</v>
      </c>
      <c r="AL296" s="15" t="e">
        <f t="shared" si="106"/>
        <v>#DIV/0!</v>
      </c>
      <c r="AM296" s="15">
        <f t="shared" si="101"/>
        <v>0</v>
      </c>
      <c r="AN296" s="15" t="e">
        <f t="shared" si="102"/>
        <v>#DIV/0!</v>
      </c>
    </row>
    <row r="297" spans="18:40" ht="13.8" x14ac:dyDescent="0.3">
      <c r="R297" s="51">
        <v>142.5</v>
      </c>
      <c r="S297" s="38">
        <f t="shared" si="96"/>
        <v>285</v>
      </c>
      <c r="T297" s="52">
        <f t="shared" si="86"/>
        <v>4.9741883681838388</v>
      </c>
      <c r="U297" s="52">
        <f t="shared" si="103"/>
        <v>0.60876142900872088</v>
      </c>
      <c r="V297" s="52">
        <f t="shared" si="104"/>
        <v>-0.96592582628906842</v>
      </c>
      <c r="W297" s="52">
        <f t="shared" si="97"/>
        <v>-0.79335334029123505</v>
      </c>
      <c r="X297" s="52">
        <f t="shared" si="98"/>
        <v>0</v>
      </c>
      <c r="Y297" s="15">
        <f t="shared" si="87"/>
        <v>0</v>
      </c>
      <c r="Z297" s="52">
        <f t="shared" si="88"/>
        <v>0</v>
      </c>
      <c r="AA297" s="52">
        <f t="shared" si="89"/>
        <v>0</v>
      </c>
      <c r="AB297" s="15" t="e">
        <f t="shared" si="90"/>
        <v>#DIV/0!</v>
      </c>
      <c r="AC297" s="15" t="e">
        <f t="shared" si="99"/>
        <v>#DIV/0!</v>
      </c>
      <c r="AD297" s="15" t="e">
        <f t="shared" si="91"/>
        <v>#DIV/0!</v>
      </c>
      <c r="AE297" s="15" t="e">
        <f t="shared" si="92"/>
        <v>#DIV/0!</v>
      </c>
      <c r="AF297" s="15" t="e">
        <f t="shared" si="93"/>
        <v>#DIV/0!</v>
      </c>
      <c r="AG297" s="15" t="e">
        <f t="shared" si="94"/>
        <v>#DIV/0!</v>
      </c>
      <c r="AH297" s="53" t="e">
        <f t="shared" si="95"/>
        <v>#DIV/0!</v>
      </c>
      <c r="AI297" s="102" t="e">
        <f t="shared" si="100"/>
        <v>#DIV/0!</v>
      </c>
      <c r="AJ297" s="15"/>
      <c r="AK297" s="15" t="e">
        <f t="shared" si="105"/>
        <v>#DIV/0!</v>
      </c>
      <c r="AL297" s="15" t="e">
        <f t="shared" si="106"/>
        <v>#DIV/0!</v>
      </c>
      <c r="AM297" s="15">
        <f t="shared" si="101"/>
        <v>0</v>
      </c>
      <c r="AN297" s="15" t="e">
        <f t="shared" si="102"/>
        <v>#DIV/0!</v>
      </c>
    </row>
    <row r="298" spans="18:40" ht="13.8" x14ac:dyDescent="0.3">
      <c r="R298" s="51">
        <v>143</v>
      </c>
      <c r="S298" s="38">
        <f t="shared" si="96"/>
        <v>286</v>
      </c>
      <c r="T298" s="52">
        <f t="shared" si="86"/>
        <v>4.9916416607037828</v>
      </c>
      <c r="U298" s="52">
        <f t="shared" si="103"/>
        <v>0.60181502315204816</v>
      </c>
      <c r="V298" s="52">
        <f t="shared" si="104"/>
        <v>-0.96126169593831878</v>
      </c>
      <c r="W298" s="52">
        <f t="shared" si="97"/>
        <v>-0.79863551004729294</v>
      </c>
      <c r="X298" s="52">
        <f t="shared" si="98"/>
        <v>0</v>
      </c>
      <c r="Y298" s="15">
        <f t="shared" si="87"/>
        <v>0</v>
      </c>
      <c r="Z298" s="52">
        <f t="shared" si="88"/>
        <v>0</v>
      </c>
      <c r="AA298" s="52">
        <f t="shared" si="89"/>
        <v>0</v>
      </c>
      <c r="AB298" s="15" t="e">
        <f t="shared" si="90"/>
        <v>#DIV/0!</v>
      </c>
      <c r="AC298" s="15" t="e">
        <f t="shared" si="99"/>
        <v>#DIV/0!</v>
      </c>
      <c r="AD298" s="15" t="e">
        <f t="shared" si="91"/>
        <v>#DIV/0!</v>
      </c>
      <c r="AE298" s="15" t="e">
        <f t="shared" si="92"/>
        <v>#DIV/0!</v>
      </c>
      <c r="AF298" s="15" t="e">
        <f t="shared" si="93"/>
        <v>#DIV/0!</v>
      </c>
      <c r="AG298" s="15" t="e">
        <f t="shared" si="94"/>
        <v>#DIV/0!</v>
      </c>
      <c r="AH298" s="53" t="e">
        <f t="shared" si="95"/>
        <v>#DIV/0!</v>
      </c>
      <c r="AI298" s="102" t="e">
        <f t="shared" si="100"/>
        <v>#DIV/0!</v>
      </c>
      <c r="AJ298" s="15"/>
      <c r="AK298" s="15" t="e">
        <f t="shared" si="105"/>
        <v>#DIV/0!</v>
      </c>
      <c r="AL298" s="15" t="e">
        <f t="shared" si="106"/>
        <v>#DIV/0!</v>
      </c>
      <c r="AM298" s="15">
        <f t="shared" si="101"/>
        <v>0</v>
      </c>
      <c r="AN298" s="15" t="e">
        <f t="shared" si="102"/>
        <v>#DIV/0!</v>
      </c>
    </row>
    <row r="299" spans="18:40" ht="13.8" x14ac:dyDescent="0.3">
      <c r="R299" s="51">
        <v>143.5</v>
      </c>
      <c r="S299" s="38">
        <f t="shared" si="96"/>
        <v>287</v>
      </c>
      <c r="T299" s="52">
        <f t="shared" si="86"/>
        <v>5.0090949532237259</v>
      </c>
      <c r="U299" s="52">
        <f t="shared" si="103"/>
        <v>0.59482278675134126</v>
      </c>
      <c r="V299" s="52">
        <f t="shared" si="104"/>
        <v>-0.95630475596303544</v>
      </c>
      <c r="W299" s="52">
        <f t="shared" si="97"/>
        <v>-0.80385686061721728</v>
      </c>
      <c r="X299" s="52">
        <f t="shared" si="98"/>
        <v>0</v>
      </c>
      <c r="Y299" s="15">
        <f t="shared" si="87"/>
        <v>0</v>
      </c>
      <c r="Z299" s="52">
        <f t="shared" si="88"/>
        <v>0</v>
      </c>
      <c r="AA299" s="52">
        <f t="shared" si="89"/>
        <v>0</v>
      </c>
      <c r="AB299" s="15" t="e">
        <f t="shared" si="90"/>
        <v>#DIV/0!</v>
      </c>
      <c r="AC299" s="15" t="e">
        <f t="shared" si="99"/>
        <v>#DIV/0!</v>
      </c>
      <c r="AD299" s="15" t="e">
        <f t="shared" si="91"/>
        <v>#DIV/0!</v>
      </c>
      <c r="AE299" s="15" t="e">
        <f t="shared" si="92"/>
        <v>#DIV/0!</v>
      </c>
      <c r="AF299" s="15" t="e">
        <f t="shared" si="93"/>
        <v>#DIV/0!</v>
      </c>
      <c r="AG299" s="15" t="e">
        <f t="shared" si="94"/>
        <v>#DIV/0!</v>
      </c>
      <c r="AH299" s="53" t="e">
        <f t="shared" si="95"/>
        <v>#DIV/0!</v>
      </c>
      <c r="AI299" s="102" t="e">
        <f t="shared" si="100"/>
        <v>#DIV/0!</v>
      </c>
      <c r="AJ299" s="15"/>
      <c r="AK299" s="15" t="e">
        <f t="shared" si="105"/>
        <v>#DIV/0!</v>
      </c>
      <c r="AL299" s="15" t="e">
        <f t="shared" si="106"/>
        <v>#DIV/0!</v>
      </c>
      <c r="AM299" s="15">
        <f t="shared" si="101"/>
        <v>0</v>
      </c>
      <c r="AN299" s="15" t="e">
        <f t="shared" si="102"/>
        <v>#DIV/0!</v>
      </c>
    </row>
    <row r="300" spans="18:40" ht="13.8" x14ac:dyDescent="0.3">
      <c r="R300" s="51">
        <v>144</v>
      </c>
      <c r="S300" s="38">
        <f t="shared" si="96"/>
        <v>288</v>
      </c>
      <c r="T300" s="52">
        <f t="shared" si="86"/>
        <v>5.026548245743669</v>
      </c>
      <c r="U300" s="52">
        <f t="shared" si="103"/>
        <v>0.58778525229247325</v>
      </c>
      <c r="V300" s="52">
        <f t="shared" si="104"/>
        <v>-0.95105651629515364</v>
      </c>
      <c r="W300" s="52">
        <f t="shared" si="97"/>
        <v>-0.80901699437494734</v>
      </c>
      <c r="X300" s="52">
        <f t="shared" si="98"/>
        <v>0</v>
      </c>
      <c r="Y300" s="15">
        <f t="shared" si="87"/>
        <v>0</v>
      </c>
      <c r="Z300" s="52">
        <f t="shared" si="88"/>
        <v>0</v>
      </c>
      <c r="AA300" s="52">
        <f t="shared" si="89"/>
        <v>0</v>
      </c>
      <c r="AB300" s="15" t="e">
        <f t="shared" si="90"/>
        <v>#DIV/0!</v>
      </c>
      <c r="AC300" s="15" t="e">
        <f t="shared" si="99"/>
        <v>#DIV/0!</v>
      </c>
      <c r="AD300" s="15" t="e">
        <f t="shared" si="91"/>
        <v>#DIV/0!</v>
      </c>
      <c r="AE300" s="15" t="e">
        <f t="shared" si="92"/>
        <v>#DIV/0!</v>
      </c>
      <c r="AF300" s="15" t="e">
        <f t="shared" si="93"/>
        <v>#DIV/0!</v>
      </c>
      <c r="AG300" s="15" t="e">
        <f t="shared" si="94"/>
        <v>#DIV/0!</v>
      </c>
      <c r="AH300" s="53" t="e">
        <f t="shared" si="95"/>
        <v>#DIV/0!</v>
      </c>
      <c r="AI300" s="102" t="e">
        <f t="shared" si="100"/>
        <v>#DIV/0!</v>
      </c>
      <c r="AJ300" s="15"/>
      <c r="AK300" s="15" t="e">
        <f t="shared" si="105"/>
        <v>#DIV/0!</v>
      </c>
      <c r="AL300" s="15" t="e">
        <f t="shared" si="106"/>
        <v>#DIV/0!</v>
      </c>
      <c r="AM300" s="15">
        <f t="shared" si="101"/>
        <v>0</v>
      </c>
      <c r="AN300" s="15" t="e">
        <f t="shared" si="102"/>
        <v>#DIV/0!</v>
      </c>
    </row>
    <row r="301" spans="18:40" ht="13.8" x14ac:dyDescent="0.3">
      <c r="R301" s="51">
        <v>144.5</v>
      </c>
      <c r="S301" s="38">
        <f t="shared" si="96"/>
        <v>289</v>
      </c>
      <c r="T301" s="52">
        <f t="shared" si="86"/>
        <v>5.0440015382636121</v>
      </c>
      <c r="U301" s="52">
        <f t="shared" si="103"/>
        <v>0.58070295571093988</v>
      </c>
      <c r="V301" s="52">
        <f t="shared" si="104"/>
        <v>-0.94551857559931696</v>
      </c>
      <c r="W301" s="52">
        <f t="shared" si="97"/>
        <v>-0.81411551835631912</v>
      </c>
      <c r="X301" s="52">
        <f t="shared" si="98"/>
        <v>0</v>
      </c>
      <c r="Y301" s="15">
        <f t="shared" si="87"/>
        <v>0</v>
      </c>
      <c r="Z301" s="52">
        <f t="shared" si="88"/>
        <v>0</v>
      </c>
      <c r="AA301" s="52">
        <f t="shared" si="89"/>
        <v>0</v>
      </c>
      <c r="AB301" s="15" t="e">
        <f t="shared" si="90"/>
        <v>#DIV/0!</v>
      </c>
      <c r="AC301" s="15" t="e">
        <f t="shared" si="99"/>
        <v>#DIV/0!</v>
      </c>
      <c r="AD301" s="15" t="e">
        <f t="shared" si="91"/>
        <v>#DIV/0!</v>
      </c>
      <c r="AE301" s="15" t="e">
        <f t="shared" si="92"/>
        <v>#DIV/0!</v>
      </c>
      <c r="AF301" s="15" t="e">
        <f t="shared" si="93"/>
        <v>#DIV/0!</v>
      </c>
      <c r="AG301" s="15" t="e">
        <f t="shared" si="94"/>
        <v>#DIV/0!</v>
      </c>
      <c r="AH301" s="53" t="e">
        <f t="shared" si="95"/>
        <v>#DIV/0!</v>
      </c>
      <c r="AI301" s="102" t="e">
        <f t="shared" si="100"/>
        <v>#DIV/0!</v>
      </c>
      <c r="AJ301" s="15"/>
      <c r="AK301" s="15" t="e">
        <f t="shared" si="105"/>
        <v>#DIV/0!</v>
      </c>
      <c r="AL301" s="15" t="e">
        <f t="shared" si="106"/>
        <v>#DIV/0!</v>
      </c>
      <c r="AM301" s="15">
        <f t="shared" si="101"/>
        <v>0</v>
      </c>
      <c r="AN301" s="15" t="e">
        <f t="shared" si="102"/>
        <v>#DIV/0!</v>
      </c>
    </row>
    <row r="302" spans="18:40" ht="13.8" x14ac:dyDescent="0.3">
      <c r="R302" s="51">
        <v>145</v>
      </c>
      <c r="S302" s="38">
        <f t="shared" si="96"/>
        <v>290</v>
      </c>
      <c r="T302" s="52">
        <f t="shared" si="86"/>
        <v>5.0614548307835561</v>
      </c>
      <c r="U302" s="52">
        <f t="shared" si="103"/>
        <v>0.57357643635104594</v>
      </c>
      <c r="V302" s="52">
        <f t="shared" si="104"/>
        <v>-0.93969262078590832</v>
      </c>
      <c r="W302" s="52">
        <f t="shared" si="97"/>
        <v>-0.81915204428899191</v>
      </c>
      <c r="X302" s="52">
        <f t="shared" si="98"/>
        <v>0</v>
      </c>
      <c r="Y302" s="15">
        <f t="shared" si="87"/>
        <v>0</v>
      </c>
      <c r="Z302" s="52">
        <f t="shared" si="88"/>
        <v>0</v>
      </c>
      <c r="AA302" s="52">
        <f t="shared" si="89"/>
        <v>0</v>
      </c>
      <c r="AB302" s="15" t="e">
        <f t="shared" si="90"/>
        <v>#DIV/0!</v>
      </c>
      <c r="AC302" s="15" t="e">
        <f t="shared" si="99"/>
        <v>#DIV/0!</v>
      </c>
      <c r="AD302" s="15" t="e">
        <f t="shared" si="91"/>
        <v>#DIV/0!</v>
      </c>
      <c r="AE302" s="15" t="e">
        <f t="shared" si="92"/>
        <v>#DIV/0!</v>
      </c>
      <c r="AF302" s="15" t="e">
        <f t="shared" si="93"/>
        <v>#DIV/0!</v>
      </c>
      <c r="AG302" s="15" t="e">
        <f t="shared" si="94"/>
        <v>#DIV/0!</v>
      </c>
      <c r="AH302" s="53" t="e">
        <f t="shared" si="95"/>
        <v>#DIV/0!</v>
      </c>
      <c r="AI302" s="102" t="e">
        <f t="shared" si="100"/>
        <v>#DIV/0!</v>
      </c>
      <c r="AJ302" s="15"/>
      <c r="AK302" s="15" t="e">
        <f t="shared" si="105"/>
        <v>#DIV/0!</v>
      </c>
      <c r="AL302" s="15" t="e">
        <f t="shared" si="106"/>
        <v>#DIV/0!</v>
      </c>
      <c r="AM302" s="15">
        <f t="shared" si="101"/>
        <v>0</v>
      </c>
      <c r="AN302" s="15" t="e">
        <f t="shared" si="102"/>
        <v>#DIV/0!</v>
      </c>
    </row>
    <row r="303" spans="18:40" ht="13.8" x14ac:dyDescent="0.3">
      <c r="R303" s="51">
        <v>145.5</v>
      </c>
      <c r="S303" s="38">
        <f t="shared" si="96"/>
        <v>291</v>
      </c>
      <c r="T303" s="52">
        <f t="shared" si="86"/>
        <v>5.0789081233034992</v>
      </c>
      <c r="U303" s="52">
        <f t="shared" si="103"/>
        <v>0.56640623692483283</v>
      </c>
      <c r="V303" s="52">
        <f t="shared" si="104"/>
        <v>-0.93358042649720174</v>
      </c>
      <c r="W303" s="52">
        <f t="shared" si="97"/>
        <v>-0.8241261886220157</v>
      </c>
      <c r="X303" s="52">
        <f t="shared" si="98"/>
        <v>0</v>
      </c>
      <c r="Y303" s="15">
        <f t="shared" si="87"/>
        <v>0</v>
      </c>
      <c r="Z303" s="52">
        <f t="shared" si="88"/>
        <v>0</v>
      </c>
      <c r="AA303" s="52">
        <f t="shared" si="89"/>
        <v>0</v>
      </c>
      <c r="AB303" s="15" t="e">
        <f t="shared" si="90"/>
        <v>#DIV/0!</v>
      </c>
      <c r="AC303" s="15" t="e">
        <f t="shared" si="99"/>
        <v>#DIV/0!</v>
      </c>
      <c r="AD303" s="15" t="e">
        <f t="shared" si="91"/>
        <v>#DIV/0!</v>
      </c>
      <c r="AE303" s="15" t="e">
        <f t="shared" si="92"/>
        <v>#DIV/0!</v>
      </c>
      <c r="AF303" s="15" t="e">
        <f t="shared" si="93"/>
        <v>#DIV/0!</v>
      </c>
      <c r="AG303" s="15" t="e">
        <f t="shared" si="94"/>
        <v>#DIV/0!</v>
      </c>
      <c r="AH303" s="53" t="e">
        <f t="shared" si="95"/>
        <v>#DIV/0!</v>
      </c>
      <c r="AI303" s="102" t="e">
        <f t="shared" si="100"/>
        <v>#DIV/0!</v>
      </c>
      <c r="AJ303" s="15"/>
      <c r="AK303" s="15" t="e">
        <f t="shared" si="105"/>
        <v>#DIV/0!</v>
      </c>
      <c r="AL303" s="15" t="e">
        <f t="shared" si="106"/>
        <v>#DIV/0!</v>
      </c>
      <c r="AM303" s="15">
        <f t="shared" si="101"/>
        <v>0</v>
      </c>
      <c r="AN303" s="15" t="e">
        <f t="shared" si="102"/>
        <v>#DIV/0!</v>
      </c>
    </row>
    <row r="304" spans="18:40" ht="13.8" x14ac:dyDescent="0.3">
      <c r="R304" s="51">
        <v>146</v>
      </c>
      <c r="S304" s="38">
        <f t="shared" si="96"/>
        <v>292</v>
      </c>
      <c r="T304" s="52">
        <f t="shared" si="86"/>
        <v>5.0963614158234423</v>
      </c>
      <c r="U304" s="52">
        <f t="shared" si="103"/>
        <v>0.5591929034707469</v>
      </c>
      <c r="V304" s="52">
        <f t="shared" si="104"/>
        <v>-0.92718385456678742</v>
      </c>
      <c r="W304" s="52">
        <f t="shared" si="97"/>
        <v>-0.82903757255504162</v>
      </c>
      <c r="X304" s="52">
        <f t="shared" si="98"/>
        <v>0</v>
      </c>
      <c r="Y304" s="15">
        <f t="shared" si="87"/>
        <v>0</v>
      </c>
      <c r="Z304" s="52">
        <f t="shared" si="88"/>
        <v>0</v>
      </c>
      <c r="AA304" s="52">
        <f t="shared" si="89"/>
        <v>0</v>
      </c>
      <c r="AB304" s="15" t="e">
        <f t="shared" si="90"/>
        <v>#DIV/0!</v>
      </c>
      <c r="AC304" s="15" t="e">
        <f t="shared" si="99"/>
        <v>#DIV/0!</v>
      </c>
      <c r="AD304" s="15" t="e">
        <f t="shared" si="91"/>
        <v>#DIV/0!</v>
      </c>
      <c r="AE304" s="15" t="e">
        <f t="shared" si="92"/>
        <v>#DIV/0!</v>
      </c>
      <c r="AF304" s="15" t="e">
        <f t="shared" si="93"/>
        <v>#DIV/0!</v>
      </c>
      <c r="AG304" s="15" t="e">
        <f t="shared" si="94"/>
        <v>#DIV/0!</v>
      </c>
      <c r="AH304" s="53" t="e">
        <f t="shared" si="95"/>
        <v>#DIV/0!</v>
      </c>
      <c r="AI304" s="102" t="e">
        <f t="shared" si="100"/>
        <v>#DIV/0!</v>
      </c>
      <c r="AJ304" s="15"/>
      <c r="AK304" s="15" t="e">
        <f t="shared" si="105"/>
        <v>#DIV/0!</v>
      </c>
      <c r="AL304" s="15" t="e">
        <f t="shared" si="106"/>
        <v>#DIV/0!</v>
      </c>
      <c r="AM304" s="15">
        <f t="shared" si="101"/>
        <v>0</v>
      </c>
      <c r="AN304" s="15" t="e">
        <f t="shared" si="102"/>
        <v>#DIV/0!</v>
      </c>
    </row>
    <row r="305" spans="18:40" ht="13.8" x14ac:dyDescent="0.3">
      <c r="R305" s="51">
        <v>146.5</v>
      </c>
      <c r="S305" s="38">
        <f t="shared" si="96"/>
        <v>293</v>
      </c>
      <c r="T305" s="52">
        <f t="shared" si="86"/>
        <v>5.1138147083433854</v>
      </c>
      <c r="U305" s="52">
        <f t="shared" si="103"/>
        <v>0.55193698531205826</v>
      </c>
      <c r="V305" s="52">
        <f t="shared" si="104"/>
        <v>-0.92050485345244049</v>
      </c>
      <c r="W305" s="52">
        <f t="shared" si="97"/>
        <v>-0.8338858220671681</v>
      </c>
      <c r="X305" s="52">
        <f t="shared" si="98"/>
        <v>0</v>
      </c>
      <c r="Y305" s="15">
        <f t="shared" si="87"/>
        <v>0</v>
      </c>
      <c r="Z305" s="52">
        <f t="shared" si="88"/>
        <v>0</v>
      </c>
      <c r="AA305" s="52">
        <f t="shared" si="89"/>
        <v>0</v>
      </c>
      <c r="AB305" s="15" t="e">
        <f t="shared" si="90"/>
        <v>#DIV/0!</v>
      </c>
      <c r="AC305" s="15" t="e">
        <f t="shared" si="99"/>
        <v>#DIV/0!</v>
      </c>
      <c r="AD305" s="15" t="e">
        <f t="shared" si="91"/>
        <v>#DIV/0!</v>
      </c>
      <c r="AE305" s="15" t="e">
        <f t="shared" si="92"/>
        <v>#DIV/0!</v>
      </c>
      <c r="AF305" s="15" t="e">
        <f t="shared" si="93"/>
        <v>#DIV/0!</v>
      </c>
      <c r="AG305" s="15" t="e">
        <f t="shared" si="94"/>
        <v>#DIV/0!</v>
      </c>
      <c r="AH305" s="53" t="e">
        <f t="shared" si="95"/>
        <v>#DIV/0!</v>
      </c>
      <c r="AI305" s="102" t="e">
        <f t="shared" si="100"/>
        <v>#DIV/0!</v>
      </c>
      <c r="AJ305" s="15"/>
      <c r="AK305" s="15" t="e">
        <f t="shared" si="105"/>
        <v>#DIV/0!</v>
      </c>
      <c r="AL305" s="15" t="e">
        <f t="shared" si="106"/>
        <v>#DIV/0!</v>
      </c>
      <c r="AM305" s="15">
        <f t="shared" si="101"/>
        <v>0</v>
      </c>
      <c r="AN305" s="15" t="e">
        <f t="shared" si="102"/>
        <v>#DIV/0!</v>
      </c>
    </row>
    <row r="306" spans="18:40" ht="13.8" x14ac:dyDescent="0.3">
      <c r="R306" s="51">
        <v>147</v>
      </c>
      <c r="S306" s="38">
        <f t="shared" si="96"/>
        <v>294</v>
      </c>
      <c r="T306" s="52">
        <f t="shared" si="86"/>
        <v>5.1312680008633285</v>
      </c>
      <c r="U306" s="52">
        <f t="shared" si="103"/>
        <v>0.54463903501502731</v>
      </c>
      <c r="V306" s="52">
        <f t="shared" si="104"/>
        <v>-0.91354545764260109</v>
      </c>
      <c r="W306" s="52">
        <f t="shared" si="97"/>
        <v>-0.83867056794542394</v>
      </c>
      <c r="X306" s="52">
        <f t="shared" si="98"/>
        <v>0</v>
      </c>
      <c r="Y306" s="15">
        <f t="shared" si="87"/>
        <v>0</v>
      </c>
      <c r="Z306" s="52">
        <f t="shared" si="88"/>
        <v>0</v>
      </c>
      <c r="AA306" s="52">
        <f t="shared" si="89"/>
        <v>0</v>
      </c>
      <c r="AB306" s="15" t="e">
        <f t="shared" si="90"/>
        <v>#DIV/0!</v>
      </c>
      <c r="AC306" s="15" t="e">
        <f t="shared" si="99"/>
        <v>#DIV/0!</v>
      </c>
      <c r="AD306" s="15" t="e">
        <f t="shared" si="91"/>
        <v>#DIV/0!</v>
      </c>
      <c r="AE306" s="15" t="e">
        <f t="shared" si="92"/>
        <v>#DIV/0!</v>
      </c>
      <c r="AF306" s="15" t="e">
        <f t="shared" si="93"/>
        <v>#DIV/0!</v>
      </c>
      <c r="AG306" s="15" t="e">
        <f t="shared" si="94"/>
        <v>#DIV/0!</v>
      </c>
      <c r="AH306" s="53" t="e">
        <f t="shared" si="95"/>
        <v>#DIV/0!</v>
      </c>
      <c r="AI306" s="102" t="e">
        <f t="shared" si="100"/>
        <v>#DIV/0!</v>
      </c>
      <c r="AJ306" s="15"/>
      <c r="AK306" s="15" t="e">
        <f t="shared" si="105"/>
        <v>#DIV/0!</v>
      </c>
      <c r="AL306" s="15" t="e">
        <f t="shared" si="106"/>
        <v>#DIV/0!</v>
      </c>
      <c r="AM306" s="15">
        <f t="shared" si="101"/>
        <v>0</v>
      </c>
      <c r="AN306" s="15" t="e">
        <f t="shared" si="102"/>
        <v>#DIV/0!</v>
      </c>
    </row>
    <row r="307" spans="18:40" ht="13.8" x14ac:dyDescent="0.3">
      <c r="R307" s="51">
        <v>147.5</v>
      </c>
      <c r="S307" s="38">
        <f t="shared" si="96"/>
        <v>295</v>
      </c>
      <c r="T307" s="52">
        <f t="shared" si="86"/>
        <v>5.1487212933832724</v>
      </c>
      <c r="U307" s="52">
        <f t="shared" si="103"/>
        <v>0.53729960834682378</v>
      </c>
      <c r="V307" s="52">
        <f t="shared" si="104"/>
        <v>-0.90630778703664994</v>
      </c>
      <c r="W307" s="52">
        <f t="shared" si="97"/>
        <v>-0.84339144581288572</v>
      </c>
      <c r="X307" s="52">
        <f t="shared" si="98"/>
        <v>0</v>
      </c>
      <c r="Y307" s="15">
        <f t="shared" si="87"/>
        <v>0</v>
      </c>
      <c r="Z307" s="52">
        <f t="shared" si="88"/>
        <v>0</v>
      </c>
      <c r="AA307" s="52">
        <f t="shared" si="89"/>
        <v>0</v>
      </c>
      <c r="AB307" s="15" t="e">
        <f t="shared" si="90"/>
        <v>#DIV/0!</v>
      </c>
      <c r="AC307" s="15" t="e">
        <f t="shared" si="99"/>
        <v>#DIV/0!</v>
      </c>
      <c r="AD307" s="15" t="e">
        <f t="shared" si="91"/>
        <v>#DIV/0!</v>
      </c>
      <c r="AE307" s="15" t="e">
        <f t="shared" si="92"/>
        <v>#DIV/0!</v>
      </c>
      <c r="AF307" s="15" t="e">
        <f t="shared" si="93"/>
        <v>#DIV/0!</v>
      </c>
      <c r="AG307" s="15" t="e">
        <f t="shared" si="94"/>
        <v>#DIV/0!</v>
      </c>
      <c r="AH307" s="53" t="e">
        <f t="shared" si="95"/>
        <v>#DIV/0!</v>
      </c>
      <c r="AI307" s="102" t="e">
        <f t="shared" si="100"/>
        <v>#DIV/0!</v>
      </c>
      <c r="AJ307" s="15"/>
      <c r="AK307" s="15" t="e">
        <f t="shared" si="105"/>
        <v>#DIV/0!</v>
      </c>
      <c r="AL307" s="15" t="e">
        <f t="shared" si="106"/>
        <v>#DIV/0!</v>
      </c>
      <c r="AM307" s="15">
        <f t="shared" si="101"/>
        <v>0</v>
      </c>
      <c r="AN307" s="15" t="e">
        <f t="shared" si="102"/>
        <v>#DIV/0!</v>
      </c>
    </row>
    <row r="308" spans="18:40" ht="13.8" x14ac:dyDescent="0.3">
      <c r="R308" s="51">
        <v>148</v>
      </c>
      <c r="S308" s="38">
        <f t="shared" si="96"/>
        <v>296</v>
      </c>
      <c r="T308" s="52">
        <f t="shared" si="86"/>
        <v>5.1661745859032155</v>
      </c>
      <c r="U308" s="52">
        <f t="shared" si="103"/>
        <v>0.5299192642332049</v>
      </c>
      <c r="V308" s="52">
        <f t="shared" si="104"/>
        <v>-0.89879404629916704</v>
      </c>
      <c r="W308" s="52">
        <f t="shared" si="97"/>
        <v>-0.84804809615642596</v>
      </c>
      <c r="X308" s="52">
        <f t="shared" si="98"/>
        <v>0</v>
      </c>
      <c r="Y308" s="15">
        <f t="shared" si="87"/>
        <v>0</v>
      </c>
      <c r="Z308" s="52">
        <f t="shared" si="88"/>
        <v>0</v>
      </c>
      <c r="AA308" s="52">
        <f t="shared" si="89"/>
        <v>0</v>
      </c>
      <c r="AB308" s="15" t="e">
        <f t="shared" si="90"/>
        <v>#DIV/0!</v>
      </c>
      <c r="AC308" s="15" t="e">
        <f t="shared" si="99"/>
        <v>#DIV/0!</v>
      </c>
      <c r="AD308" s="15" t="e">
        <f t="shared" si="91"/>
        <v>#DIV/0!</v>
      </c>
      <c r="AE308" s="15" t="e">
        <f t="shared" si="92"/>
        <v>#DIV/0!</v>
      </c>
      <c r="AF308" s="15" t="e">
        <f t="shared" si="93"/>
        <v>#DIV/0!</v>
      </c>
      <c r="AG308" s="15" t="e">
        <f t="shared" si="94"/>
        <v>#DIV/0!</v>
      </c>
      <c r="AH308" s="53" t="e">
        <f t="shared" si="95"/>
        <v>#DIV/0!</v>
      </c>
      <c r="AI308" s="102" t="e">
        <f t="shared" si="100"/>
        <v>#DIV/0!</v>
      </c>
      <c r="AJ308" s="15"/>
      <c r="AK308" s="15" t="e">
        <f t="shared" si="105"/>
        <v>#DIV/0!</v>
      </c>
      <c r="AL308" s="15" t="e">
        <f t="shared" si="106"/>
        <v>#DIV/0!</v>
      </c>
      <c r="AM308" s="15">
        <f t="shared" si="101"/>
        <v>0</v>
      </c>
      <c r="AN308" s="15" t="e">
        <f t="shared" si="102"/>
        <v>#DIV/0!</v>
      </c>
    </row>
    <row r="309" spans="18:40" ht="13.8" x14ac:dyDescent="0.3">
      <c r="R309" s="51">
        <v>148.5</v>
      </c>
      <c r="S309" s="38">
        <f t="shared" si="96"/>
        <v>297</v>
      </c>
      <c r="T309" s="52">
        <f t="shared" si="86"/>
        <v>5.1836278784231586</v>
      </c>
      <c r="U309" s="52">
        <f t="shared" si="103"/>
        <v>0.52249856471594891</v>
      </c>
      <c r="V309" s="52">
        <f t="shared" si="104"/>
        <v>-0.8910065241883679</v>
      </c>
      <c r="W309" s="52">
        <f t="shared" si="97"/>
        <v>-0.85264016435409218</v>
      </c>
      <c r="X309" s="52">
        <f t="shared" si="98"/>
        <v>0</v>
      </c>
      <c r="Y309" s="15">
        <f t="shared" si="87"/>
        <v>0</v>
      </c>
      <c r="Z309" s="52">
        <f t="shared" si="88"/>
        <v>0</v>
      </c>
      <c r="AA309" s="52">
        <f t="shared" si="89"/>
        <v>0</v>
      </c>
      <c r="AB309" s="15" t="e">
        <f t="shared" si="90"/>
        <v>#DIV/0!</v>
      </c>
      <c r="AC309" s="15" t="e">
        <f t="shared" si="99"/>
        <v>#DIV/0!</v>
      </c>
      <c r="AD309" s="15" t="e">
        <f t="shared" si="91"/>
        <v>#DIV/0!</v>
      </c>
      <c r="AE309" s="15" t="e">
        <f t="shared" si="92"/>
        <v>#DIV/0!</v>
      </c>
      <c r="AF309" s="15" t="e">
        <f t="shared" si="93"/>
        <v>#DIV/0!</v>
      </c>
      <c r="AG309" s="15" t="e">
        <f t="shared" si="94"/>
        <v>#DIV/0!</v>
      </c>
      <c r="AH309" s="53" t="e">
        <f t="shared" si="95"/>
        <v>#DIV/0!</v>
      </c>
      <c r="AI309" s="102" t="e">
        <f t="shared" si="100"/>
        <v>#DIV/0!</v>
      </c>
      <c r="AJ309" s="15"/>
      <c r="AK309" s="15" t="e">
        <f t="shared" si="105"/>
        <v>#DIV/0!</v>
      </c>
      <c r="AL309" s="15" t="e">
        <f t="shared" si="106"/>
        <v>#DIV/0!</v>
      </c>
      <c r="AM309" s="15">
        <f t="shared" si="101"/>
        <v>0</v>
      </c>
      <c r="AN309" s="15" t="e">
        <f t="shared" si="102"/>
        <v>#DIV/0!</v>
      </c>
    </row>
    <row r="310" spans="18:40" ht="13.8" x14ac:dyDescent="0.3">
      <c r="R310" s="51">
        <v>149</v>
      </c>
      <c r="S310" s="38">
        <f t="shared" si="96"/>
        <v>298</v>
      </c>
      <c r="T310" s="52">
        <f t="shared" si="86"/>
        <v>5.2010811709431017</v>
      </c>
      <c r="U310" s="52">
        <f t="shared" si="103"/>
        <v>0.51503807491005438</v>
      </c>
      <c r="V310" s="52">
        <f t="shared" si="104"/>
        <v>-0.8829475928589271</v>
      </c>
      <c r="W310" s="52">
        <f t="shared" si="97"/>
        <v>-0.85716730070211222</v>
      </c>
      <c r="X310" s="52">
        <f t="shared" si="98"/>
        <v>0</v>
      </c>
      <c r="Y310" s="15">
        <f t="shared" si="87"/>
        <v>0</v>
      </c>
      <c r="Z310" s="52">
        <f t="shared" si="88"/>
        <v>0</v>
      </c>
      <c r="AA310" s="52">
        <f t="shared" si="89"/>
        <v>0</v>
      </c>
      <c r="AB310" s="15" t="e">
        <f t="shared" si="90"/>
        <v>#DIV/0!</v>
      </c>
      <c r="AC310" s="15" t="e">
        <f t="shared" si="99"/>
        <v>#DIV/0!</v>
      </c>
      <c r="AD310" s="15" t="e">
        <f t="shared" si="91"/>
        <v>#DIV/0!</v>
      </c>
      <c r="AE310" s="15" t="e">
        <f t="shared" si="92"/>
        <v>#DIV/0!</v>
      </c>
      <c r="AF310" s="15" t="e">
        <f t="shared" si="93"/>
        <v>#DIV/0!</v>
      </c>
      <c r="AG310" s="15" t="e">
        <f t="shared" si="94"/>
        <v>#DIV/0!</v>
      </c>
      <c r="AH310" s="53" t="e">
        <f t="shared" si="95"/>
        <v>#DIV/0!</v>
      </c>
      <c r="AI310" s="102" t="e">
        <f t="shared" si="100"/>
        <v>#DIV/0!</v>
      </c>
      <c r="AJ310" s="15"/>
      <c r="AK310" s="15" t="e">
        <f t="shared" si="105"/>
        <v>#DIV/0!</v>
      </c>
      <c r="AL310" s="15" t="e">
        <f t="shared" si="106"/>
        <v>#DIV/0!</v>
      </c>
      <c r="AM310" s="15">
        <f t="shared" si="101"/>
        <v>0</v>
      </c>
      <c r="AN310" s="15" t="e">
        <f t="shared" si="102"/>
        <v>#DIV/0!</v>
      </c>
    </row>
    <row r="311" spans="18:40" ht="13.8" x14ac:dyDescent="0.3">
      <c r="R311" s="51">
        <v>149.5</v>
      </c>
      <c r="S311" s="38">
        <f t="shared" si="96"/>
        <v>299</v>
      </c>
      <c r="T311" s="52">
        <f t="shared" si="86"/>
        <v>5.2185344634630457</v>
      </c>
      <c r="U311" s="52">
        <f t="shared" si="103"/>
        <v>0.50753836296070409</v>
      </c>
      <c r="V311" s="52">
        <f t="shared" si="104"/>
        <v>-0.87461970713939563</v>
      </c>
      <c r="W311" s="52">
        <f t="shared" si="97"/>
        <v>-0.86162916044152582</v>
      </c>
      <c r="X311" s="52">
        <f t="shared" si="98"/>
        <v>0</v>
      </c>
      <c r="Y311" s="15">
        <f t="shared" si="87"/>
        <v>0</v>
      </c>
      <c r="Z311" s="52">
        <f t="shared" si="88"/>
        <v>0</v>
      </c>
      <c r="AA311" s="52">
        <f t="shared" si="89"/>
        <v>0</v>
      </c>
      <c r="AB311" s="15" t="e">
        <f t="shared" si="90"/>
        <v>#DIV/0!</v>
      </c>
      <c r="AC311" s="15" t="e">
        <f t="shared" si="99"/>
        <v>#DIV/0!</v>
      </c>
      <c r="AD311" s="15" t="e">
        <f t="shared" si="91"/>
        <v>#DIV/0!</v>
      </c>
      <c r="AE311" s="15" t="e">
        <f t="shared" si="92"/>
        <v>#DIV/0!</v>
      </c>
      <c r="AF311" s="15" t="e">
        <f t="shared" si="93"/>
        <v>#DIV/0!</v>
      </c>
      <c r="AG311" s="15" t="e">
        <f t="shared" si="94"/>
        <v>#DIV/0!</v>
      </c>
      <c r="AH311" s="53" t="e">
        <f t="shared" si="95"/>
        <v>#DIV/0!</v>
      </c>
      <c r="AI311" s="102" t="e">
        <f t="shared" si="100"/>
        <v>#DIV/0!</v>
      </c>
      <c r="AJ311" s="15"/>
      <c r="AK311" s="15" t="e">
        <f t="shared" si="105"/>
        <v>#DIV/0!</v>
      </c>
      <c r="AL311" s="15" t="e">
        <f t="shared" si="106"/>
        <v>#DIV/0!</v>
      </c>
      <c r="AM311" s="15">
        <f t="shared" si="101"/>
        <v>0</v>
      </c>
      <c r="AN311" s="15" t="e">
        <f t="shared" si="102"/>
        <v>#DIV/0!</v>
      </c>
    </row>
    <row r="312" spans="18:40" ht="13.8" x14ac:dyDescent="0.3">
      <c r="R312" s="51">
        <v>150</v>
      </c>
      <c r="S312" s="38">
        <f t="shared" si="96"/>
        <v>300</v>
      </c>
      <c r="T312" s="52">
        <f t="shared" si="86"/>
        <v>5.2359877559829888</v>
      </c>
      <c r="U312" s="52">
        <f t="shared" si="103"/>
        <v>0.49999999999999994</v>
      </c>
      <c r="V312" s="52">
        <f t="shared" si="104"/>
        <v>-0.8660254037844386</v>
      </c>
      <c r="W312" s="52">
        <f t="shared" si="97"/>
        <v>-0.86602540378443871</v>
      </c>
      <c r="X312" s="52">
        <f t="shared" si="98"/>
        <v>0</v>
      </c>
      <c r="Y312" s="15">
        <f t="shared" si="87"/>
        <v>0</v>
      </c>
      <c r="Z312" s="52">
        <f t="shared" si="88"/>
        <v>0</v>
      </c>
      <c r="AA312" s="52">
        <f t="shared" si="89"/>
        <v>0</v>
      </c>
      <c r="AB312" s="15" t="e">
        <f t="shared" si="90"/>
        <v>#DIV/0!</v>
      </c>
      <c r="AC312" s="15" t="e">
        <f t="shared" si="99"/>
        <v>#DIV/0!</v>
      </c>
      <c r="AD312" s="15" t="e">
        <f t="shared" si="91"/>
        <v>#DIV/0!</v>
      </c>
      <c r="AE312" s="15" t="e">
        <f t="shared" si="92"/>
        <v>#DIV/0!</v>
      </c>
      <c r="AF312" s="15" t="e">
        <f t="shared" si="93"/>
        <v>#DIV/0!</v>
      </c>
      <c r="AG312" s="15" t="e">
        <f t="shared" si="94"/>
        <v>#DIV/0!</v>
      </c>
      <c r="AH312" s="53" t="e">
        <f t="shared" si="95"/>
        <v>#DIV/0!</v>
      </c>
      <c r="AI312" s="102" t="e">
        <f t="shared" si="100"/>
        <v>#DIV/0!</v>
      </c>
      <c r="AJ312" s="15"/>
      <c r="AK312" s="15" t="e">
        <f t="shared" si="105"/>
        <v>#DIV/0!</v>
      </c>
      <c r="AL312" s="15" t="e">
        <f t="shared" si="106"/>
        <v>#DIV/0!</v>
      </c>
      <c r="AM312" s="15">
        <f t="shared" si="101"/>
        <v>0</v>
      </c>
      <c r="AN312" s="15" t="e">
        <f t="shared" si="102"/>
        <v>#DIV/0!</v>
      </c>
    </row>
    <row r="313" spans="18:40" ht="13.8" x14ac:dyDescent="0.3">
      <c r="R313" s="51">
        <v>150.5</v>
      </c>
      <c r="S313" s="38">
        <f t="shared" si="96"/>
        <v>301</v>
      </c>
      <c r="T313" s="52">
        <f t="shared" si="86"/>
        <v>5.2534410485029319</v>
      </c>
      <c r="U313" s="52">
        <f t="shared" si="103"/>
        <v>0.49242356010346716</v>
      </c>
      <c r="V313" s="52">
        <f t="shared" si="104"/>
        <v>-0.85716730070211233</v>
      </c>
      <c r="W313" s="52">
        <f t="shared" si="97"/>
        <v>-0.8703556959398997</v>
      </c>
      <c r="X313" s="52">
        <f t="shared" si="98"/>
        <v>0</v>
      </c>
      <c r="Y313" s="15">
        <f t="shared" si="87"/>
        <v>0</v>
      </c>
      <c r="Z313" s="52">
        <f t="shared" si="88"/>
        <v>0</v>
      </c>
      <c r="AA313" s="52">
        <f t="shared" si="89"/>
        <v>0</v>
      </c>
      <c r="AB313" s="15" t="e">
        <f t="shared" si="90"/>
        <v>#DIV/0!</v>
      </c>
      <c r="AC313" s="15" t="e">
        <f t="shared" si="99"/>
        <v>#DIV/0!</v>
      </c>
      <c r="AD313" s="15" t="e">
        <f t="shared" si="91"/>
        <v>#DIV/0!</v>
      </c>
      <c r="AE313" s="15" t="e">
        <f t="shared" si="92"/>
        <v>#DIV/0!</v>
      </c>
      <c r="AF313" s="15" t="e">
        <f t="shared" si="93"/>
        <v>#DIV/0!</v>
      </c>
      <c r="AG313" s="15" t="e">
        <f t="shared" si="94"/>
        <v>#DIV/0!</v>
      </c>
      <c r="AH313" s="53" t="e">
        <f t="shared" si="95"/>
        <v>#DIV/0!</v>
      </c>
      <c r="AI313" s="102" t="e">
        <f t="shared" si="100"/>
        <v>#DIV/0!</v>
      </c>
      <c r="AJ313" s="15"/>
      <c r="AK313" s="15" t="e">
        <f t="shared" si="105"/>
        <v>#DIV/0!</v>
      </c>
      <c r="AL313" s="15" t="e">
        <f t="shared" si="106"/>
        <v>#DIV/0!</v>
      </c>
      <c r="AM313" s="15">
        <f t="shared" si="101"/>
        <v>0</v>
      </c>
      <c r="AN313" s="15" t="e">
        <f t="shared" si="102"/>
        <v>#DIV/0!</v>
      </c>
    </row>
    <row r="314" spans="18:40" ht="13.8" x14ac:dyDescent="0.3">
      <c r="R314" s="51">
        <v>151</v>
      </c>
      <c r="S314" s="38">
        <f t="shared" si="96"/>
        <v>302</v>
      </c>
      <c r="T314" s="52">
        <f t="shared" si="86"/>
        <v>5.270894341022875</v>
      </c>
      <c r="U314" s="52">
        <f t="shared" si="103"/>
        <v>0.48480962024633717</v>
      </c>
      <c r="V314" s="52">
        <f t="shared" si="104"/>
        <v>-0.84804809615642618</v>
      </c>
      <c r="W314" s="52">
        <f t="shared" si="97"/>
        <v>-0.87461970713939574</v>
      </c>
      <c r="X314" s="52">
        <f t="shared" si="98"/>
        <v>0</v>
      </c>
      <c r="Y314" s="15">
        <f t="shared" si="87"/>
        <v>0</v>
      </c>
      <c r="Z314" s="52">
        <f t="shared" si="88"/>
        <v>0</v>
      </c>
      <c r="AA314" s="52">
        <f t="shared" si="89"/>
        <v>0</v>
      </c>
      <c r="AB314" s="15" t="e">
        <f t="shared" si="90"/>
        <v>#DIV/0!</v>
      </c>
      <c r="AC314" s="15" t="e">
        <f t="shared" si="99"/>
        <v>#DIV/0!</v>
      </c>
      <c r="AD314" s="15" t="e">
        <f t="shared" si="91"/>
        <v>#DIV/0!</v>
      </c>
      <c r="AE314" s="15" t="e">
        <f t="shared" si="92"/>
        <v>#DIV/0!</v>
      </c>
      <c r="AF314" s="15" t="e">
        <f t="shared" si="93"/>
        <v>#DIV/0!</v>
      </c>
      <c r="AG314" s="15" t="e">
        <f t="shared" si="94"/>
        <v>#DIV/0!</v>
      </c>
      <c r="AH314" s="53" t="e">
        <f t="shared" si="95"/>
        <v>#DIV/0!</v>
      </c>
      <c r="AI314" s="102" t="e">
        <f t="shared" si="100"/>
        <v>#DIV/0!</v>
      </c>
      <c r="AJ314" s="15"/>
      <c r="AK314" s="15" t="e">
        <f t="shared" si="105"/>
        <v>#DIV/0!</v>
      </c>
      <c r="AL314" s="15" t="e">
        <f t="shared" si="106"/>
        <v>#DIV/0!</v>
      </c>
      <c r="AM314" s="15">
        <f t="shared" si="101"/>
        <v>0</v>
      </c>
      <c r="AN314" s="15" t="e">
        <f t="shared" si="102"/>
        <v>#DIV/0!</v>
      </c>
    </row>
    <row r="315" spans="18:40" ht="13.8" x14ac:dyDescent="0.3">
      <c r="R315" s="51">
        <v>151.5</v>
      </c>
      <c r="S315" s="38">
        <f t="shared" si="96"/>
        <v>303</v>
      </c>
      <c r="T315" s="52">
        <f t="shared" si="86"/>
        <v>5.2883476335428181</v>
      </c>
      <c r="U315" s="52">
        <f t="shared" si="103"/>
        <v>0.47715876025960863</v>
      </c>
      <c r="V315" s="52">
        <f t="shared" si="104"/>
        <v>-0.83867056794542427</v>
      </c>
      <c r="W315" s="52">
        <f t="shared" si="97"/>
        <v>-0.87881711266196527</v>
      </c>
      <c r="X315" s="52">
        <f t="shared" si="98"/>
        <v>0</v>
      </c>
      <c r="Y315" s="15">
        <f t="shared" si="87"/>
        <v>0</v>
      </c>
      <c r="Z315" s="52">
        <f t="shared" si="88"/>
        <v>0</v>
      </c>
      <c r="AA315" s="52">
        <f t="shared" si="89"/>
        <v>0</v>
      </c>
      <c r="AB315" s="15" t="e">
        <f t="shared" si="90"/>
        <v>#DIV/0!</v>
      </c>
      <c r="AC315" s="15" t="e">
        <f t="shared" si="99"/>
        <v>#DIV/0!</v>
      </c>
      <c r="AD315" s="15" t="e">
        <f t="shared" si="91"/>
        <v>#DIV/0!</v>
      </c>
      <c r="AE315" s="15" t="e">
        <f t="shared" si="92"/>
        <v>#DIV/0!</v>
      </c>
      <c r="AF315" s="15" t="e">
        <f t="shared" si="93"/>
        <v>#DIV/0!</v>
      </c>
      <c r="AG315" s="15" t="e">
        <f t="shared" si="94"/>
        <v>#DIV/0!</v>
      </c>
      <c r="AH315" s="53" t="e">
        <f t="shared" si="95"/>
        <v>#DIV/0!</v>
      </c>
      <c r="AI315" s="102" t="e">
        <f t="shared" si="100"/>
        <v>#DIV/0!</v>
      </c>
      <c r="AJ315" s="15"/>
      <c r="AK315" s="15" t="e">
        <f t="shared" si="105"/>
        <v>#DIV/0!</v>
      </c>
      <c r="AL315" s="15" t="e">
        <f t="shared" si="106"/>
        <v>#DIV/0!</v>
      </c>
      <c r="AM315" s="15">
        <f t="shared" si="101"/>
        <v>0</v>
      </c>
      <c r="AN315" s="15" t="e">
        <f t="shared" si="102"/>
        <v>#DIV/0!</v>
      </c>
    </row>
    <row r="316" spans="18:40" ht="13.8" x14ac:dyDescent="0.3">
      <c r="R316" s="51">
        <v>152</v>
      </c>
      <c r="S316" s="38">
        <f t="shared" si="96"/>
        <v>304</v>
      </c>
      <c r="T316" s="52">
        <f t="shared" si="86"/>
        <v>5.3058009260627621</v>
      </c>
      <c r="U316" s="52">
        <f t="shared" si="103"/>
        <v>0.46947156278589069</v>
      </c>
      <c r="V316" s="52">
        <f t="shared" si="104"/>
        <v>-0.82903757255504162</v>
      </c>
      <c r="W316" s="52">
        <f t="shared" si="97"/>
        <v>-0.88294759285892699</v>
      </c>
      <c r="X316" s="52">
        <f t="shared" si="98"/>
        <v>0</v>
      </c>
      <c r="Y316" s="15">
        <f t="shared" si="87"/>
        <v>0</v>
      </c>
      <c r="Z316" s="52">
        <f t="shared" si="88"/>
        <v>0</v>
      </c>
      <c r="AA316" s="52">
        <f t="shared" si="89"/>
        <v>0</v>
      </c>
      <c r="AB316" s="15" t="e">
        <f t="shared" si="90"/>
        <v>#DIV/0!</v>
      </c>
      <c r="AC316" s="15" t="e">
        <f t="shared" si="99"/>
        <v>#DIV/0!</v>
      </c>
      <c r="AD316" s="15" t="e">
        <f t="shared" si="91"/>
        <v>#DIV/0!</v>
      </c>
      <c r="AE316" s="15" t="e">
        <f t="shared" si="92"/>
        <v>#DIV/0!</v>
      </c>
      <c r="AF316" s="15" t="e">
        <f t="shared" si="93"/>
        <v>#DIV/0!</v>
      </c>
      <c r="AG316" s="15" t="e">
        <f t="shared" si="94"/>
        <v>#DIV/0!</v>
      </c>
      <c r="AH316" s="53" t="e">
        <f t="shared" si="95"/>
        <v>#DIV/0!</v>
      </c>
      <c r="AI316" s="102" t="e">
        <f t="shared" si="100"/>
        <v>#DIV/0!</v>
      </c>
      <c r="AJ316" s="15"/>
      <c r="AK316" s="15" t="e">
        <f t="shared" si="105"/>
        <v>#DIV/0!</v>
      </c>
      <c r="AL316" s="15" t="e">
        <f t="shared" si="106"/>
        <v>#DIV/0!</v>
      </c>
      <c r="AM316" s="15">
        <f t="shared" si="101"/>
        <v>0</v>
      </c>
      <c r="AN316" s="15" t="e">
        <f t="shared" si="102"/>
        <v>#DIV/0!</v>
      </c>
    </row>
    <row r="317" spans="18:40" ht="13.8" x14ac:dyDescent="0.3">
      <c r="R317" s="51">
        <v>152.5</v>
      </c>
      <c r="S317" s="38">
        <f t="shared" si="96"/>
        <v>305</v>
      </c>
      <c r="T317" s="52">
        <f t="shared" si="86"/>
        <v>5.3232542185827052</v>
      </c>
      <c r="U317" s="52">
        <f t="shared" si="103"/>
        <v>0.46174861323503391</v>
      </c>
      <c r="V317" s="52">
        <f t="shared" si="104"/>
        <v>-0.8191520442889918</v>
      </c>
      <c r="W317" s="52">
        <f t="shared" si="97"/>
        <v>-0.88701083317822171</v>
      </c>
      <c r="X317" s="52">
        <f t="shared" si="98"/>
        <v>0</v>
      </c>
      <c r="Y317" s="15">
        <f t="shared" si="87"/>
        <v>0</v>
      </c>
      <c r="Z317" s="52">
        <f t="shared" si="88"/>
        <v>0</v>
      </c>
      <c r="AA317" s="52">
        <f t="shared" si="89"/>
        <v>0</v>
      </c>
      <c r="AB317" s="15" t="e">
        <f t="shared" si="90"/>
        <v>#DIV/0!</v>
      </c>
      <c r="AC317" s="15" t="e">
        <f t="shared" si="99"/>
        <v>#DIV/0!</v>
      </c>
      <c r="AD317" s="15" t="e">
        <f t="shared" si="91"/>
        <v>#DIV/0!</v>
      </c>
      <c r="AE317" s="15" t="e">
        <f t="shared" si="92"/>
        <v>#DIV/0!</v>
      </c>
      <c r="AF317" s="15" t="e">
        <f t="shared" si="93"/>
        <v>#DIV/0!</v>
      </c>
      <c r="AG317" s="15" t="e">
        <f t="shared" si="94"/>
        <v>#DIV/0!</v>
      </c>
      <c r="AH317" s="53" t="e">
        <f t="shared" si="95"/>
        <v>#DIV/0!</v>
      </c>
      <c r="AI317" s="102" t="e">
        <f t="shared" si="100"/>
        <v>#DIV/0!</v>
      </c>
      <c r="AJ317" s="15"/>
      <c r="AK317" s="15" t="e">
        <f t="shared" si="105"/>
        <v>#DIV/0!</v>
      </c>
      <c r="AL317" s="15" t="e">
        <f t="shared" si="106"/>
        <v>#DIV/0!</v>
      </c>
      <c r="AM317" s="15">
        <f t="shared" si="101"/>
        <v>0</v>
      </c>
      <c r="AN317" s="15" t="e">
        <f t="shared" si="102"/>
        <v>#DIV/0!</v>
      </c>
    </row>
    <row r="318" spans="18:40" ht="13.8" x14ac:dyDescent="0.3">
      <c r="R318" s="51">
        <v>153</v>
      </c>
      <c r="S318" s="38">
        <f t="shared" si="96"/>
        <v>306</v>
      </c>
      <c r="T318" s="52">
        <f t="shared" si="86"/>
        <v>5.3407075111026483</v>
      </c>
      <c r="U318" s="52">
        <f t="shared" si="103"/>
        <v>0.45399049973954686</v>
      </c>
      <c r="V318" s="52">
        <f t="shared" si="104"/>
        <v>-0.80901699437494756</v>
      </c>
      <c r="W318" s="52">
        <f t="shared" si="97"/>
        <v>-0.89100652418836779</v>
      </c>
      <c r="X318" s="52">
        <f t="shared" si="98"/>
        <v>0</v>
      </c>
      <c r="Y318" s="15">
        <f t="shared" si="87"/>
        <v>0</v>
      </c>
      <c r="Z318" s="52">
        <f t="shared" si="88"/>
        <v>0</v>
      </c>
      <c r="AA318" s="52">
        <f t="shared" si="89"/>
        <v>0</v>
      </c>
      <c r="AB318" s="15" t="e">
        <f t="shared" si="90"/>
        <v>#DIV/0!</v>
      </c>
      <c r="AC318" s="15" t="e">
        <f t="shared" si="99"/>
        <v>#DIV/0!</v>
      </c>
      <c r="AD318" s="15" t="e">
        <f t="shared" si="91"/>
        <v>#DIV/0!</v>
      </c>
      <c r="AE318" s="15" t="e">
        <f t="shared" si="92"/>
        <v>#DIV/0!</v>
      </c>
      <c r="AF318" s="15" t="e">
        <f t="shared" si="93"/>
        <v>#DIV/0!</v>
      </c>
      <c r="AG318" s="15" t="e">
        <f t="shared" si="94"/>
        <v>#DIV/0!</v>
      </c>
      <c r="AH318" s="53" t="e">
        <f t="shared" si="95"/>
        <v>#DIV/0!</v>
      </c>
      <c r="AI318" s="102" t="e">
        <f t="shared" si="100"/>
        <v>#DIV/0!</v>
      </c>
      <c r="AJ318" s="15"/>
      <c r="AK318" s="15" t="e">
        <f t="shared" si="105"/>
        <v>#DIV/0!</v>
      </c>
      <c r="AL318" s="15" t="e">
        <f t="shared" si="106"/>
        <v>#DIV/0!</v>
      </c>
      <c r="AM318" s="15">
        <f t="shared" si="101"/>
        <v>0</v>
      </c>
      <c r="AN318" s="15" t="e">
        <f t="shared" si="102"/>
        <v>#DIV/0!</v>
      </c>
    </row>
    <row r="319" spans="18:40" ht="13.8" x14ac:dyDescent="0.3">
      <c r="R319" s="51">
        <v>153.5</v>
      </c>
      <c r="S319" s="38">
        <f t="shared" si="96"/>
        <v>307</v>
      </c>
      <c r="T319" s="52">
        <f t="shared" si="86"/>
        <v>5.3581608036225914</v>
      </c>
      <c r="U319" s="52">
        <f t="shared" si="103"/>
        <v>0.44619781310980899</v>
      </c>
      <c r="V319" s="52">
        <f t="shared" si="104"/>
        <v>-0.79863551004729305</v>
      </c>
      <c r="W319" s="52">
        <f t="shared" si="97"/>
        <v>-0.894934361602025</v>
      </c>
      <c r="X319" s="52">
        <f t="shared" si="98"/>
        <v>0</v>
      </c>
      <c r="Y319" s="15">
        <f t="shared" si="87"/>
        <v>0</v>
      </c>
      <c r="Z319" s="52">
        <f t="shared" si="88"/>
        <v>0</v>
      </c>
      <c r="AA319" s="52">
        <f t="shared" si="89"/>
        <v>0</v>
      </c>
      <c r="AB319" s="15" t="e">
        <f t="shared" si="90"/>
        <v>#DIV/0!</v>
      </c>
      <c r="AC319" s="15" t="e">
        <f t="shared" si="99"/>
        <v>#DIV/0!</v>
      </c>
      <c r="AD319" s="15" t="e">
        <f t="shared" si="91"/>
        <v>#DIV/0!</v>
      </c>
      <c r="AE319" s="15" t="e">
        <f t="shared" si="92"/>
        <v>#DIV/0!</v>
      </c>
      <c r="AF319" s="15" t="e">
        <f t="shared" si="93"/>
        <v>#DIV/0!</v>
      </c>
      <c r="AG319" s="15" t="e">
        <f t="shared" si="94"/>
        <v>#DIV/0!</v>
      </c>
      <c r="AH319" s="53" t="e">
        <f t="shared" si="95"/>
        <v>#DIV/0!</v>
      </c>
      <c r="AI319" s="102" t="e">
        <f t="shared" si="100"/>
        <v>#DIV/0!</v>
      </c>
      <c r="AJ319" s="15"/>
      <c r="AK319" s="15" t="e">
        <f t="shared" si="105"/>
        <v>#DIV/0!</v>
      </c>
      <c r="AL319" s="15" t="e">
        <f t="shared" si="106"/>
        <v>#DIV/0!</v>
      </c>
      <c r="AM319" s="15">
        <f t="shared" si="101"/>
        <v>0</v>
      </c>
      <c r="AN319" s="15" t="e">
        <f t="shared" si="102"/>
        <v>#DIV/0!</v>
      </c>
    </row>
    <row r="320" spans="18:40" ht="13.8" x14ac:dyDescent="0.3">
      <c r="R320" s="51">
        <v>154</v>
      </c>
      <c r="S320" s="38">
        <f t="shared" si="96"/>
        <v>308</v>
      </c>
      <c r="T320" s="52">
        <f t="shared" si="86"/>
        <v>5.3756140961425354</v>
      </c>
      <c r="U320" s="52">
        <f t="shared" si="103"/>
        <v>0.43837114678907729</v>
      </c>
      <c r="V320" s="52">
        <f t="shared" si="104"/>
        <v>-0.78801075360672179</v>
      </c>
      <c r="W320" s="52">
        <f t="shared" si="97"/>
        <v>-0.89879404629916704</v>
      </c>
      <c r="X320" s="52">
        <f t="shared" si="98"/>
        <v>0</v>
      </c>
      <c r="Y320" s="15">
        <f t="shared" si="87"/>
        <v>0</v>
      </c>
      <c r="Z320" s="52">
        <f t="shared" si="88"/>
        <v>0</v>
      </c>
      <c r="AA320" s="52">
        <f t="shared" si="89"/>
        <v>0</v>
      </c>
      <c r="AB320" s="15" t="e">
        <f t="shared" si="90"/>
        <v>#DIV/0!</v>
      </c>
      <c r="AC320" s="15" t="e">
        <f t="shared" si="99"/>
        <v>#DIV/0!</v>
      </c>
      <c r="AD320" s="15" t="e">
        <f t="shared" si="91"/>
        <v>#DIV/0!</v>
      </c>
      <c r="AE320" s="15" t="e">
        <f t="shared" si="92"/>
        <v>#DIV/0!</v>
      </c>
      <c r="AF320" s="15" t="e">
        <f t="shared" si="93"/>
        <v>#DIV/0!</v>
      </c>
      <c r="AG320" s="15" t="e">
        <f t="shared" si="94"/>
        <v>#DIV/0!</v>
      </c>
      <c r="AH320" s="53" t="e">
        <f t="shared" si="95"/>
        <v>#DIV/0!</v>
      </c>
      <c r="AI320" s="102" t="e">
        <f t="shared" si="100"/>
        <v>#DIV/0!</v>
      </c>
      <c r="AJ320" s="15"/>
      <c r="AK320" s="15" t="e">
        <f t="shared" si="105"/>
        <v>#DIV/0!</v>
      </c>
      <c r="AL320" s="15" t="e">
        <f t="shared" si="106"/>
        <v>#DIV/0!</v>
      </c>
      <c r="AM320" s="15">
        <f t="shared" si="101"/>
        <v>0</v>
      </c>
      <c r="AN320" s="15" t="e">
        <f t="shared" si="102"/>
        <v>#DIV/0!</v>
      </c>
    </row>
    <row r="321" spans="18:40" ht="13.8" x14ac:dyDescent="0.3">
      <c r="R321" s="51">
        <v>154.5</v>
      </c>
      <c r="S321" s="38">
        <f t="shared" si="96"/>
        <v>309</v>
      </c>
      <c r="T321" s="52">
        <f t="shared" si="86"/>
        <v>5.3930673886624785</v>
      </c>
      <c r="U321" s="52">
        <f t="shared" si="103"/>
        <v>0.43051109680829508</v>
      </c>
      <c r="V321" s="52">
        <f t="shared" si="104"/>
        <v>-0.77714596145697079</v>
      </c>
      <c r="W321" s="52">
        <f t="shared" si="97"/>
        <v>-0.90258528434986063</v>
      </c>
      <c r="X321" s="52">
        <f t="shared" si="98"/>
        <v>0</v>
      </c>
      <c r="Y321" s="15">
        <f t="shared" si="87"/>
        <v>0</v>
      </c>
      <c r="Z321" s="52">
        <f t="shared" si="88"/>
        <v>0</v>
      </c>
      <c r="AA321" s="52">
        <f t="shared" si="89"/>
        <v>0</v>
      </c>
      <c r="AB321" s="15" t="e">
        <f t="shared" si="90"/>
        <v>#DIV/0!</v>
      </c>
      <c r="AC321" s="15" t="e">
        <f t="shared" si="99"/>
        <v>#DIV/0!</v>
      </c>
      <c r="AD321" s="15" t="e">
        <f t="shared" si="91"/>
        <v>#DIV/0!</v>
      </c>
      <c r="AE321" s="15" t="e">
        <f t="shared" si="92"/>
        <v>#DIV/0!</v>
      </c>
      <c r="AF321" s="15" t="e">
        <f t="shared" si="93"/>
        <v>#DIV/0!</v>
      </c>
      <c r="AG321" s="15" t="e">
        <f t="shared" si="94"/>
        <v>#DIV/0!</v>
      </c>
      <c r="AH321" s="53" t="e">
        <f t="shared" si="95"/>
        <v>#DIV/0!</v>
      </c>
      <c r="AI321" s="102" t="e">
        <f t="shared" si="100"/>
        <v>#DIV/0!</v>
      </c>
      <c r="AJ321" s="15"/>
      <c r="AK321" s="15" t="e">
        <f t="shared" si="105"/>
        <v>#DIV/0!</v>
      </c>
      <c r="AL321" s="15" t="e">
        <f t="shared" si="106"/>
        <v>#DIV/0!</v>
      </c>
      <c r="AM321" s="15">
        <f t="shared" si="101"/>
        <v>0</v>
      </c>
      <c r="AN321" s="15" t="e">
        <f t="shared" si="102"/>
        <v>#DIV/0!</v>
      </c>
    </row>
    <row r="322" spans="18:40" ht="13.8" x14ac:dyDescent="0.3">
      <c r="R322" s="51">
        <v>155</v>
      </c>
      <c r="S322" s="38">
        <f t="shared" si="96"/>
        <v>310</v>
      </c>
      <c r="T322" s="52">
        <f t="shared" si="86"/>
        <v>5.4105206811824216</v>
      </c>
      <c r="U322" s="52">
        <f t="shared" si="103"/>
        <v>0.4226182617406995</v>
      </c>
      <c r="V322" s="52">
        <f t="shared" si="104"/>
        <v>-0.76604444311897812</v>
      </c>
      <c r="W322" s="52">
        <f t="shared" si="97"/>
        <v>-0.90630778703664994</v>
      </c>
      <c r="X322" s="52">
        <f t="shared" si="98"/>
        <v>0</v>
      </c>
      <c r="Y322" s="15">
        <f t="shared" si="87"/>
        <v>0</v>
      </c>
      <c r="Z322" s="52">
        <f t="shared" si="88"/>
        <v>0</v>
      </c>
      <c r="AA322" s="52">
        <f t="shared" si="89"/>
        <v>0</v>
      </c>
      <c r="AB322" s="15" t="e">
        <f t="shared" si="90"/>
        <v>#DIV/0!</v>
      </c>
      <c r="AC322" s="15" t="e">
        <f t="shared" si="99"/>
        <v>#DIV/0!</v>
      </c>
      <c r="AD322" s="15" t="e">
        <f t="shared" si="91"/>
        <v>#DIV/0!</v>
      </c>
      <c r="AE322" s="15" t="e">
        <f t="shared" si="92"/>
        <v>#DIV/0!</v>
      </c>
      <c r="AF322" s="15" t="e">
        <f t="shared" si="93"/>
        <v>#DIV/0!</v>
      </c>
      <c r="AG322" s="15" t="e">
        <f t="shared" si="94"/>
        <v>#DIV/0!</v>
      </c>
      <c r="AH322" s="53" t="e">
        <f t="shared" si="95"/>
        <v>#DIV/0!</v>
      </c>
      <c r="AI322" s="102" t="e">
        <f t="shared" si="100"/>
        <v>#DIV/0!</v>
      </c>
      <c r="AJ322" s="15"/>
      <c r="AK322" s="15" t="e">
        <f t="shared" si="105"/>
        <v>#DIV/0!</v>
      </c>
      <c r="AL322" s="15" t="e">
        <f t="shared" si="106"/>
        <v>#DIV/0!</v>
      </c>
      <c r="AM322" s="15">
        <f t="shared" si="101"/>
        <v>0</v>
      </c>
      <c r="AN322" s="15" t="e">
        <f t="shared" si="102"/>
        <v>#DIV/0!</v>
      </c>
    </row>
    <row r="323" spans="18:40" ht="13.8" x14ac:dyDescent="0.3">
      <c r="R323" s="51">
        <v>155.5</v>
      </c>
      <c r="S323" s="38">
        <f t="shared" si="96"/>
        <v>311</v>
      </c>
      <c r="T323" s="52">
        <f t="shared" si="86"/>
        <v>5.4279739737023647</v>
      </c>
      <c r="U323" s="52">
        <f t="shared" si="103"/>
        <v>0.41469324265623919</v>
      </c>
      <c r="V323" s="52">
        <f t="shared" si="104"/>
        <v>-0.75470958022277224</v>
      </c>
      <c r="W323" s="52">
        <f t="shared" si="97"/>
        <v>-0.9099612708765431</v>
      </c>
      <c r="X323" s="52">
        <f t="shared" si="98"/>
        <v>0</v>
      </c>
      <c r="Y323" s="15">
        <f t="shared" si="87"/>
        <v>0</v>
      </c>
      <c r="Z323" s="52">
        <f t="shared" si="88"/>
        <v>0</v>
      </c>
      <c r="AA323" s="52">
        <f t="shared" si="89"/>
        <v>0</v>
      </c>
      <c r="AB323" s="15" t="e">
        <f t="shared" si="90"/>
        <v>#DIV/0!</v>
      </c>
      <c r="AC323" s="15" t="e">
        <f t="shared" si="99"/>
        <v>#DIV/0!</v>
      </c>
      <c r="AD323" s="15" t="e">
        <f t="shared" si="91"/>
        <v>#DIV/0!</v>
      </c>
      <c r="AE323" s="15" t="e">
        <f t="shared" si="92"/>
        <v>#DIV/0!</v>
      </c>
      <c r="AF323" s="15" t="e">
        <f t="shared" si="93"/>
        <v>#DIV/0!</v>
      </c>
      <c r="AG323" s="15" t="e">
        <f t="shared" si="94"/>
        <v>#DIV/0!</v>
      </c>
      <c r="AH323" s="53" t="e">
        <f t="shared" si="95"/>
        <v>#DIV/0!</v>
      </c>
      <c r="AI323" s="102" t="e">
        <f t="shared" si="100"/>
        <v>#DIV/0!</v>
      </c>
      <c r="AJ323" s="15"/>
      <c r="AK323" s="15" t="e">
        <f t="shared" si="105"/>
        <v>#DIV/0!</v>
      </c>
      <c r="AL323" s="15" t="e">
        <f t="shared" si="106"/>
        <v>#DIV/0!</v>
      </c>
      <c r="AM323" s="15">
        <f t="shared" si="101"/>
        <v>0</v>
      </c>
      <c r="AN323" s="15" t="e">
        <f t="shared" si="102"/>
        <v>#DIV/0!</v>
      </c>
    </row>
    <row r="324" spans="18:40" ht="13.8" x14ac:dyDescent="0.3">
      <c r="R324" s="51">
        <v>156</v>
      </c>
      <c r="S324" s="38">
        <f t="shared" si="96"/>
        <v>312</v>
      </c>
      <c r="T324" s="52">
        <f t="shared" si="86"/>
        <v>5.4454272662223078</v>
      </c>
      <c r="U324" s="52">
        <f t="shared" si="103"/>
        <v>0.40673664307580043</v>
      </c>
      <c r="V324" s="52">
        <f t="shared" si="104"/>
        <v>-0.74314482547739458</v>
      </c>
      <c r="W324" s="52">
        <f t="shared" si="97"/>
        <v>-0.91354545764260076</v>
      </c>
      <c r="X324" s="52">
        <f t="shared" si="98"/>
        <v>0</v>
      </c>
      <c r="Y324" s="15">
        <f t="shared" si="87"/>
        <v>0</v>
      </c>
      <c r="Z324" s="52">
        <f t="shared" si="88"/>
        <v>0</v>
      </c>
      <c r="AA324" s="52">
        <f t="shared" si="89"/>
        <v>0</v>
      </c>
      <c r="AB324" s="15" t="e">
        <f t="shared" si="90"/>
        <v>#DIV/0!</v>
      </c>
      <c r="AC324" s="15" t="e">
        <f t="shared" si="99"/>
        <v>#DIV/0!</v>
      </c>
      <c r="AD324" s="15" t="e">
        <f t="shared" si="91"/>
        <v>#DIV/0!</v>
      </c>
      <c r="AE324" s="15" t="e">
        <f t="shared" si="92"/>
        <v>#DIV/0!</v>
      </c>
      <c r="AF324" s="15" t="e">
        <f t="shared" si="93"/>
        <v>#DIV/0!</v>
      </c>
      <c r="AG324" s="15" t="e">
        <f t="shared" si="94"/>
        <v>#DIV/0!</v>
      </c>
      <c r="AH324" s="53" t="e">
        <f t="shared" si="95"/>
        <v>#DIV/0!</v>
      </c>
      <c r="AI324" s="102" t="e">
        <f t="shared" si="100"/>
        <v>#DIV/0!</v>
      </c>
      <c r="AJ324" s="15"/>
      <c r="AK324" s="15" t="e">
        <f t="shared" si="105"/>
        <v>#DIV/0!</v>
      </c>
      <c r="AL324" s="15" t="e">
        <f t="shared" si="106"/>
        <v>#DIV/0!</v>
      </c>
      <c r="AM324" s="15">
        <f t="shared" si="101"/>
        <v>0</v>
      </c>
      <c r="AN324" s="15" t="e">
        <f t="shared" si="102"/>
        <v>#DIV/0!</v>
      </c>
    </row>
    <row r="325" spans="18:40" ht="13.8" x14ac:dyDescent="0.3">
      <c r="R325" s="51">
        <v>156.5</v>
      </c>
      <c r="S325" s="38">
        <f t="shared" si="96"/>
        <v>313</v>
      </c>
      <c r="T325" s="52">
        <f t="shared" si="86"/>
        <v>5.4628805587422518</v>
      </c>
      <c r="U325" s="52">
        <f t="shared" si="103"/>
        <v>0.39874906892524614</v>
      </c>
      <c r="V325" s="52">
        <f t="shared" si="104"/>
        <v>-0.73135370161917035</v>
      </c>
      <c r="W325" s="52">
        <f t="shared" si="97"/>
        <v>-0.91706007438512405</v>
      </c>
      <c r="X325" s="52">
        <f t="shared" si="98"/>
        <v>0</v>
      </c>
      <c r="Y325" s="15">
        <f t="shared" si="87"/>
        <v>0</v>
      </c>
      <c r="Z325" s="52">
        <f t="shared" si="88"/>
        <v>0</v>
      </c>
      <c r="AA325" s="52">
        <f t="shared" si="89"/>
        <v>0</v>
      </c>
      <c r="AB325" s="15" t="e">
        <f t="shared" si="90"/>
        <v>#DIV/0!</v>
      </c>
      <c r="AC325" s="15" t="e">
        <f t="shared" si="99"/>
        <v>#DIV/0!</v>
      </c>
      <c r="AD325" s="15" t="e">
        <f t="shared" si="91"/>
        <v>#DIV/0!</v>
      </c>
      <c r="AE325" s="15" t="e">
        <f t="shared" si="92"/>
        <v>#DIV/0!</v>
      </c>
      <c r="AF325" s="15" t="e">
        <f t="shared" si="93"/>
        <v>#DIV/0!</v>
      </c>
      <c r="AG325" s="15" t="e">
        <f t="shared" si="94"/>
        <v>#DIV/0!</v>
      </c>
      <c r="AH325" s="53" t="e">
        <f t="shared" si="95"/>
        <v>#DIV/0!</v>
      </c>
      <c r="AI325" s="102" t="e">
        <f t="shared" si="100"/>
        <v>#DIV/0!</v>
      </c>
      <c r="AJ325" s="15"/>
      <c r="AK325" s="15" t="e">
        <f t="shared" si="105"/>
        <v>#DIV/0!</v>
      </c>
      <c r="AL325" s="15" t="e">
        <f t="shared" si="106"/>
        <v>#DIV/0!</v>
      </c>
      <c r="AM325" s="15">
        <f t="shared" si="101"/>
        <v>0</v>
      </c>
      <c r="AN325" s="15" t="e">
        <f t="shared" si="102"/>
        <v>#DIV/0!</v>
      </c>
    </row>
    <row r="326" spans="18:40" ht="13.8" x14ac:dyDescent="0.3">
      <c r="R326" s="51">
        <v>157</v>
      </c>
      <c r="S326" s="38">
        <f t="shared" si="96"/>
        <v>314</v>
      </c>
      <c r="T326" s="52">
        <f t="shared" si="86"/>
        <v>5.4803338512621949</v>
      </c>
      <c r="U326" s="52">
        <f t="shared" si="103"/>
        <v>0.39073112848927377</v>
      </c>
      <c r="V326" s="52">
        <f t="shared" si="104"/>
        <v>-0.71933980033865119</v>
      </c>
      <c r="W326" s="52">
        <f t="shared" si="97"/>
        <v>-0.92050485345244037</v>
      </c>
      <c r="X326" s="52">
        <f t="shared" si="98"/>
        <v>0</v>
      </c>
      <c r="Y326" s="15">
        <f t="shared" si="87"/>
        <v>0</v>
      </c>
      <c r="Z326" s="52">
        <f t="shared" si="88"/>
        <v>0</v>
      </c>
      <c r="AA326" s="52">
        <f t="shared" si="89"/>
        <v>0</v>
      </c>
      <c r="AB326" s="15" t="e">
        <f t="shared" si="90"/>
        <v>#DIV/0!</v>
      </c>
      <c r="AC326" s="15" t="e">
        <f t="shared" si="99"/>
        <v>#DIV/0!</v>
      </c>
      <c r="AD326" s="15" t="e">
        <f t="shared" si="91"/>
        <v>#DIV/0!</v>
      </c>
      <c r="AE326" s="15" t="e">
        <f t="shared" si="92"/>
        <v>#DIV/0!</v>
      </c>
      <c r="AF326" s="15" t="e">
        <f t="shared" si="93"/>
        <v>#DIV/0!</v>
      </c>
      <c r="AG326" s="15" t="e">
        <f t="shared" si="94"/>
        <v>#DIV/0!</v>
      </c>
      <c r="AH326" s="53" t="e">
        <f t="shared" si="95"/>
        <v>#DIV/0!</v>
      </c>
      <c r="AI326" s="102" t="e">
        <f t="shared" si="100"/>
        <v>#DIV/0!</v>
      </c>
      <c r="AJ326" s="15"/>
      <c r="AK326" s="15" t="e">
        <f t="shared" si="105"/>
        <v>#DIV/0!</v>
      </c>
      <c r="AL326" s="15" t="e">
        <f t="shared" si="106"/>
        <v>#DIV/0!</v>
      </c>
      <c r="AM326" s="15">
        <f t="shared" si="101"/>
        <v>0</v>
      </c>
      <c r="AN326" s="15" t="e">
        <f t="shared" si="102"/>
        <v>#DIV/0!</v>
      </c>
    </row>
    <row r="327" spans="18:40" ht="13.8" x14ac:dyDescent="0.3">
      <c r="R327" s="51">
        <v>157.5</v>
      </c>
      <c r="S327" s="38">
        <f t="shared" si="96"/>
        <v>315</v>
      </c>
      <c r="T327" s="52">
        <f t="shared" si="86"/>
        <v>5.497787143782138</v>
      </c>
      <c r="U327" s="52">
        <f t="shared" si="103"/>
        <v>0.38268343236508989</v>
      </c>
      <c r="V327" s="52">
        <f t="shared" si="104"/>
        <v>-0.70710678118654768</v>
      </c>
      <c r="W327" s="52">
        <f t="shared" si="97"/>
        <v>-0.92387953251128674</v>
      </c>
      <c r="X327" s="52">
        <f t="shared" si="98"/>
        <v>0</v>
      </c>
      <c r="Y327" s="15">
        <f t="shared" si="87"/>
        <v>0</v>
      </c>
      <c r="Z327" s="52">
        <f t="shared" si="88"/>
        <v>0</v>
      </c>
      <c r="AA327" s="52">
        <f t="shared" si="89"/>
        <v>0</v>
      </c>
      <c r="AB327" s="15" t="e">
        <f t="shared" si="90"/>
        <v>#DIV/0!</v>
      </c>
      <c r="AC327" s="15" t="e">
        <f t="shared" si="99"/>
        <v>#DIV/0!</v>
      </c>
      <c r="AD327" s="15" t="e">
        <f t="shared" si="91"/>
        <v>#DIV/0!</v>
      </c>
      <c r="AE327" s="15" t="e">
        <f t="shared" si="92"/>
        <v>#DIV/0!</v>
      </c>
      <c r="AF327" s="15" t="e">
        <f t="shared" si="93"/>
        <v>#DIV/0!</v>
      </c>
      <c r="AG327" s="15" t="e">
        <f t="shared" si="94"/>
        <v>#DIV/0!</v>
      </c>
      <c r="AH327" s="53" t="e">
        <f t="shared" si="95"/>
        <v>#DIV/0!</v>
      </c>
      <c r="AI327" s="102" t="e">
        <f t="shared" si="100"/>
        <v>#DIV/0!</v>
      </c>
      <c r="AJ327" s="15"/>
      <c r="AK327" s="15" t="e">
        <f t="shared" si="105"/>
        <v>#DIV/0!</v>
      </c>
      <c r="AL327" s="15" t="e">
        <f t="shared" si="106"/>
        <v>#DIV/0!</v>
      </c>
      <c r="AM327" s="15">
        <f t="shared" si="101"/>
        <v>0</v>
      </c>
      <c r="AN327" s="15" t="e">
        <f t="shared" si="102"/>
        <v>#DIV/0!</v>
      </c>
    </row>
    <row r="328" spans="18:40" ht="13.8" x14ac:dyDescent="0.3">
      <c r="R328" s="51">
        <v>158</v>
      </c>
      <c r="S328" s="38">
        <f t="shared" si="96"/>
        <v>316</v>
      </c>
      <c r="T328" s="52">
        <f t="shared" si="86"/>
        <v>5.5152404363020811</v>
      </c>
      <c r="U328" s="52">
        <f t="shared" si="103"/>
        <v>0.37460659341591224</v>
      </c>
      <c r="V328" s="52">
        <f t="shared" si="104"/>
        <v>-0.69465837045899759</v>
      </c>
      <c r="W328" s="52">
        <f t="shared" si="97"/>
        <v>-0.92718385456678731</v>
      </c>
      <c r="X328" s="52">
        <f t="shared" si="98"/>
        <v>0</v>
      </c>
      <c r="Y328" s="15">
        <f t="shared" si="87"/>
        <v>0</v>
      </c>
      <c r="Z328" s="52">
        <f t="shared" si="88"/>
        <v>0</v>
      </c>
      <c r="AA328" s="52">
        <f t="shared" si="89"/>
        <v>0</v>
      </c>
      <c r="AB328" s="15" t="e">
        <f t="shared" si="90"/>
        <v>#DIV/0!</v>
      </c>
      <c r="AC328" s="15" t="e">
        <f t="shared" si="99"/>
        <v>#DIV/0!</v>
      </c>
      <c r="AD328" s="15" t="e">
        <f t="shared" si="91"/>
        <v>#DIV/0!</v>
      </c>
      <c r="AE328" s="15" t="e">
        <f t="shared" si="92"/>
        <v>#DIV/0!</v>
      </c>
      <c r="AF328" s="15" t="e">
        <f t="shared" si="93"/>
        <v>#DIV/0!</v>
      </c>
      <c r="AG328" s="15" t="e">
        <f t="shared" si="94"/>
        <v>#DIV/0!</v>
      </c>
      <c r="AH328" s="53" t="e">
        <f t="shared" si="95"/>
        <v>#DIV/0!</v>
      </c>
      <c r="AI328" s="102" t="e">
        <f t="shared" si="100"/>
        <v>#DIV/0!</v>
      </c>
      <c r="AJ328" s="15"/>
      <c r="AK328" s="15" t="e">
        <f t="shared" si="105"/>
        <v>#DIV/0!</v>
      </c>
      <c r="AL328" s="15" t="e">
        <f t="shared" si="106"/>
        <v>#DIV/0!</v>
      </c>
      <c r="AM328" s="15">
        <f t="shared" si="101"/>
        <v>0</v>
      </c>
      <c r="AN328" s="15" t="e">
        <f t="shared" si="102"/>
        <v>#DIV/0!</v>
      </c>
    </row>
    <row r="329" spans="18:40" ht="13.8" x14ac:dyDescent="0.3">
      <c r="R329" s="51">
        <v>158.5</v>
      </c>
      <c r="S329" s="38">
        <f t="shared" si="96"/>
        <v>317</v>
      </c>
      <c r="T329" s="52">
        <f t="shared" si="86"/>
        <v>5.532693728822025</v>
      </c>
      <c r="U329" s="52">
        <f t="shared" si="103"/>
        <v>0.36650122672429714</v>
      </c>
      <c r="V329" s="52">
        <f t="shared" si="104"/>
        <v>-0.68199836006249825</v>
      </c>
      <c r="W329" s="52">
        <f t="shared" si="97"/>
        <v>-0.93041756798202457</v>
      </c>
      <c r="X329" s="52">
        <f t="shared" si="98"/>
        <v>0</v>
      </c>
      <c r="Y329" s="15">
        <f t="shared" si="87"/>
        <v>0</v>
      </c>
      <c r="Z329" s="52">
        <f t="shared" si="88"/>
        <v>0</v>
      </c>
      <c r="AA329" s="52">
        <f t="shared" si="89"/>
        <v>0</v>
      </c>
      <c r="AB329" s="15" t="e">
        <f t="shared" si="90"/>
        <v>#DIV/0!</v>
      </c>
      <c r="AC329" s="15" t="e">
        <f t="shared" si="99"/>
        <v>#DIV/0!</v>
      </c>
      <c r="AD329" s="15" t="e">
        <f t="shared" si="91"/>
        <v>#DIV/0!</v>
      </c>
      <c r="AE329" s="15" t="e">
        <f t="shared" si="92"/>
        <v>#DIV/0!</v>
      </c>
      <c r="AF329" s="15" t="e">
        <f t="shared" si="93"/>
        <v>#DIV/0!</v>
      </c>
      <c r="AG329" s="15" t="e">
        <f t="shared" si="94"/>
        <v>#DIV/0!</v>
      </c>
      <c r="AH329" s="53" t="e">
        <f t="shared" si="95"/>
        <v>#DIV/0!</v>
      </c>
      <c r="AI329" s="102" t="e">
        <f t="shared" si="100"/>
        <v>#DIV/0!</v>
      </c>
      <c r="AJ329" s="15"/>
      <c r="AK329" s="15" t="e">
        <f t="shared" si="105"/>
        <v>#DIV/0!</v>
      </c>
      <c r="AL329" s="15" t="e">
        <f t="shared" si="106"/>
        <v>#DIV/0!</v>
      </c>
      <c r="AM329" s="15">
        <f t="shared" si="101"/>
        <v>0</v>
      </c>
      <c r="AN329" s="15" t="e">
        <f t="shared" si="102"/>
        <v>#DIV/0!</v>
      </c>
    </row>
    <row r="330" spans="18:40" ht="13.8" x14ac:dyDescent="0.3">
      <c r="R330" s="51">
        <v>159</v>
      </c>
      <c r="S330" s="38">
        <f t="shared" si="96"/>
        <v>318</v>
      </c>
      <c r="T330" s="52">
        <f t="shared" si="86"/>
        <v>5.5501470213419681</v>
      </c>
      <c r="U330" s="52">
        <f t="shared" si="103"/>
        <v>0.35836794954530021</v>
      </c>
      <c r="V330" s="52">
        <f t="shared" si="104"/>
        <v>-0.66913060635885813</v>
      </c>
      <c r="W330" s="52">
        <f t="shared" si="97"/>
        <v>-0.93358042649720174</v>
      </c>
      <c r="X330" s="52">
        <f t="shared" si="98"/>
        <v>0</v>
      </c>
      <c r="Y330" s="15">
        <f t="shared" si="87"/>
        <v>0</v>
      </c>
      <c r="Z330" s="52">
        <f t="shared" si="88"/>
        <v>0</v>
      </c>
      <c r="AA330" s="52">
        <f t="shared" si="89"/>
        <v>0</v>
      </c>
      <c r="AB330" s="15" t="e">
        <f t="shared" si="90"/>
        <v>#DIV/0!</v>
      </c>
      <c r="AC330" s="15" t="e">
        <f t="shared" si="99"/>
        <v>#DIV/0!</v>
      </c>
      <c r="AD330" s="15" t="e">
        <f t="shared" si="91"/>
        <v>#DIV/0!</v>
      </c>
      <c r="AE330" s="15" t="e">
        <f t="shared" si="92"/>
        <v>#DIV/0!</v>
      </c>
      <c r="AF330" s="15" t="e">
        <f t="shared" si="93"/>
        <v>#DIV/0!</v>
      </c>
      <c r="AG330" s="15" t="e">
        <f t="shared" si="94"/>
        <v>#DIV/0!</v>
      </c>
      <c r="AH330" s="53" t="e">
        <f t="shared" si="95"/>
        <v>#DIV/0!</v>
      </c>
      <c r="AI330" s="102" t="e">
        <f t="shared" si="100"/>
        <v>#DIV/0!</v>
      </c>
      <c r="AJ330" s="15"/>
      <c r="AK330" s="15" t="e">
        <f t="shared" si="105"/>
        <v>#DIV/0!</v>
      </c>
      <c r="AL330" s="15" t="e">
        <f t="shared" si="106"/>
        <v>#DIV/0!</v>
      </c>
      <c r="AM330" s="15">
        <f t="shared" si="101"/>
        <v>0</v>
      </c>
      <c r="AN330" s="15" t="e">
        <f t="shared" si="102"/>
        <v>#DIV/0!</v>
      </c>
    </row>
    <row r="331" spans="18:40" ht="13.8" x14ac:dyDescent="0.3">
      <c r="R331" s="51">
        <v>159.5</v>
      </c>
      <c r="S331" s="38">
        <f t="shared" si="96"/>
        <v>319</v>
      </c>
      <c r="T331" s="52">
        <f t="shared" si="86"/>
        <v>5.5676003138619112</v>
      </c>
      <c r="U331" s="52">
        <f t="shared" si="103"/>
        <v>0.35020738125946754</v>
      </c>
      <c r="V331" s="52">
        <f t="shared" si="104"/>
        <v>-0.65605902899050739</v>
      </c>
      <c r="W331" s="52">
        <f t="shared" si="97"/>
        <v>-0.93667218924839757</v>
      </c>
      <c r="X331" s="52">
        <f t="shared" si="98"/>
        <v>0</v>
      </c>
      <c r="Y331" s="15">
        <f t="shared" si="87"/>
        <v>0</v>
      </c>
      <c r="Z331" s="52">
        <f t="shared" si="88"/>
        <v>0</v>
      </c>
      <c r="AA331" s="52">
        <f t="shared" si="89"/>
        <v>0</v>
      </c>
      <c r="AB331" s="15" t="e">
        <f t="shared" si="90"/>
        <v>#DIV/0!</v>
      </c>
      <c r="AC331" s="15" t="e">
        <f t="shared" si="99"/>
        <v>#DIV/0!</v>
      </c>
      <c r="AD331" s="15" t="e">
        <f t="shared" si="91"/>
        <v>#DIV/0!</v>
      </c>
      <c r="AE331" s="15" t="e">
        <f t="shared" si="92"/>
        <v>#DIV/0!</v>
      </c>
      <c r="AF331" s="15" t="e">
        <f t="shared" si="93"/>
        <v>#DIV/0!</v>
      </c>
      <c r="AG331" s="15" t="e">
        <f t="shared" si="94"/>
        <v>#DIV/0!</v>
      </c>
      <c r="AH331" s="53" t="e">
        <f t="shared" si="95"/>
        <v>#DIV/0!</v>
      </c>
      <c r="AI331" s="102" t="e">
        <f t="shared" si="100"/>
        <v>#DIV/0!</v>
      </c>
      <c r="AJ331" s="15"/>
      <c r="AK331" s="15" t="e">
        <f t="shared" si="105"/>
        <v>#DIV/0!</v>
      </c>
      <c r="AL331" s="15" t="e">
        <f t="shared" si="106"/>
        <v>#DIV/0!</v>
      </c>
      <c r="AM331" s="15">
        <f t="shared" si="101"/>
        <v>0</v>
      </c>
      <c r="AN331" s="15" t="e">
        <f t="shared" si="102"/>
        <v>#DIV/0!</v>
      </c>
    </row>
    <row r="332" spans="18:40" ht="13.8" x14ac:dyDescent="0.3">
      <c r="R332" s="51">
        <v>160</v>
      </c>
      <c r="S332" s="38">
        <f t="shared" si="96"/>
        <v>320</v>
      </c>
      <c r="T332" s="52">
        <f t="shared" ref="T332:T372" si="107">S332*(PI()/180)</f>
        <v>5.5850536063818543</v>
      </c>
      <c r="U332" s="52">
        <f t="shared" si="103"/>
        <v>0.34202014332566888</v>
      </c>
      <c r="V332" s="52">
        <f t="shared" si="104"/>
        <v>-0.64278760968653958</v>
      </c>
      <c r="W332" s="52">
        <f t="shared" si="97"/>
        <v>-0.93969262078590832</v>
      </c>
      <c r="X332" s="52">
        <f t="shared" si="98"/>
        <v>0</v>
      </c>
      <c r="Y332" s="15">
        <f t="shared" ref="Y332:Y372" si="108">0.5*$W$4^2*(T332-V332)</f>
        <v>0</v>
      </c>
      <c r="Z332" s="52">
        <f t="shared" ref="Z332:Z372" si="109">$W$4*(1-W332)</f>
        <v>0</v>
      </c>
      <c r="AA332" s="52">
        <f t="shared" ref="AA332:AA372" si="110">$W$4*T332</f>
        <v>0</v>
      </c>
      <c r="AB332" s="15" t="e">
        <f t="shared" ref="AB332:AB372" si="111">Z332/$W$5</f>
        <v>#DIV/0!</v>
      </c>
      <c r="AC332" s="15" t="e">
        <f t="shared" si="99"/>
        <v>#DIV/0!</v>
      </c>
      <c r="AD332" s="15" t="e">
        <f t="shared" ref="AD332:AD372" si="112">(POWER(AC332,2/3)*Y332)/(POWER($W$8,2/3)*$W$6)</f>
        <v>#DIV/0!</v>
      </c>
      <c r="AE332" s="15" t="e">
        <f t="shared" ref="AE332:AE372" si="113">SQRT(AC332/$W$8)*POWER(AC332/$W$8,1/8)</f>
        <v>#DIV/0!</v>
      </c>
      <c r="AF332" s="15" t="e">
        <f t="shared" ref="AF332:AF372" si="114">AE332*(Y332/$W$6)</f>
        <v>#DIV/0!</v>
      </c>
      <c r="AG332" s="15" t="e">
        <f t="shared" ref="AG332:AG372" si="115">Y332*$D$5*SQRT($D$6)*POWER(AC332,2/3)</f>
        <v>#DIV/0!</v>
      </c>
      <c r="AH332" s="53" t="e">
        <f t="shared" ref="AH332:AH372" si="116">-2*SQRT(8*9.81)*SQRT(AC332*$D$6)*LOG10(($AA$4/(3.71*4*AC332))+((2.51*$AA$5)/(4*AC332*SQRT(8*9.81)*SQRT(AC332*$D$6))))*Y332</f>
        <v>#DIV/0!</v>
      </c>
      <c r="AI332" s="102" t="e">
        <f t="shared" si="100"/>
        <v>#DIV/0!</v>
      </c>
      <c r="AJ332" s="15"/>
      <c r="AK332" s="15" t="e">
        <f t="shared" si="105"/>
        <v>#DIV/0!</v>
      </c>
      <c r="AL332" s="15" t="e">
        <f t="shared" si="106"/>
        <v>#DIV/0!</v>
      </c>
      <c r="AM332" s="15">
        <f t="shared" si="101"/>
        <v>0</v>
      </c>
      <c r="AN332" s="15" t="e">
        <f t="shared" si="102"/>
        <v>#DIV/0!</v>
      </c>
    </row>
    <row r="333" spans="18:40" ht="13.8" x14ac:dyDescent="0.3">
      <c r="R333" s="51">
        <v>160.5</v>
      </c>
      <c r="S333" s="38">
        <f t="shared" ref="S333:S372" si="117">2*R333</f>
        <v>321</v>
      </c>
      <c r="T333" s="52">
        <f t="shared" si="107"/>
        <v>5.6025068989017974</v>
      </c>
      <c r="U333" s="52">
        <f t="shared" si="103"/>
        <v>0.33380685923377118</v>
      </c>
      <c r="V333" s="52">
        <f t="shared" si="104"/>
        <v>-0.62932039104983784</v>
      </c>
      <c r="W333" s="52">
        <f t="shared" ref="W333:W372" si="118">COS(T333/2)</f>
        <v>-0.94264149109217832</v>
      </c>
      <c r="X333" s="52">
        <f t="shared" ref="X333:X372" si="119">2*$W$4*U333</f>
        <v>0</v>
      </c>
      <c r="Y333" s="15">
        <f t="shared" si="108"/>
        <v>0</v>
      </c>
      <c r="Z333" s="52">
        <f t="shared" si="109"/>
        <v>0</v>
      </c>
      <c r="AA333" s="52">
        <f t="shared" si="110"/>
        <v>0</v>
      </c>
      <c r="AB333" s="15" t="e">
        <f t="shared" si="111"/>
        <v>#DIV/0!</v>
      </c>
      <c r="AC333" s="15" t="e">
        <f t="shared" ref="AC333:AC372" si="120">Y333/AA333</f>
        <v>#DIV/0!</v>
      </c>
      <c r="AD333" s="15" t="e">
        <f t="shared" si="112"/>
        <v>#DIV/0!</v>
      </c>
      <c r="AE333" s="15" t="e">
        <f t="shared" si="113"/>
        <v>#DIV/0!</v>
      </c>
      <c r="AF333" s="15" t="e">
        <f t="shared" si="114"/>
        <v>#DIV/0!</v>
      </c>
      <c r="AG333" s="15" t="e">
        <f t="shared" si="115"/>
        <v>#DIV/0!</v>
      </c>
      <c r="AH333" s="53" t="e">
        <f t="shared" si="116"/>
        <v>#DIV/0!</v>
      </c>
      <c r="AI333" s="102" t="e">
        <f t="shared" ref="AI333:AI372" si="121">SQRT((AH333^2*X333)/(9.81*Y333^3))</f>
        <v>#DIV/0!</v>
      </c>
      <c r="AJ333" s="15"/>
      <c r="AK333" s="15" t="e">
        <f t="shared" si="105"/>
        <v>#DIV/0!</v>
      </c>
      <c r="AL333" s="15" t="e">
        <f t="shared" si="106"/>
        <v>#DIV/0!</v>
      </c>
      <c r="AM333" s="15">
        <f t="shared" ref="AM333:AM372" si="122">Y333</f>
        <v>0</v>
      </c>
      <c r="AN333" s="15" t="e">
        <f t="shared" ref="AN333:AN372" si="123">AC333</f>
        <v>#DIV/0!</v>
      </c>
    </row>
    <row r="334" spans="18:40" ht="13.8" x14ac:dyDescent="0.3">
      <c r="R334" s="51">
        <v>161</v>
      </c>
      <c r="S334" s="38">
        <f t="shared" si="117"/>
        <v>322</v>
      </c>
      <c r="T334" s="52">
        <f t="shared" si="107"/>
        <v>5.6199601914217414</v>
      </c>
      <c r="U334" s="52">
        <f t="shared" si="103"/>
        <v>0.32556815445715659</v>
      </c>
      <c r="V334" s="52">
        <f t="shared" si="104"/>
        <v>-0.61566147532565818</v>
      </c>
      <c r="W334" s="52">
        <f t="shared" si="118"/>
        <v>-0.94551857559931685</v>
      </c>
      <c r="X334" s="52">
        <f t="shared" si="119"/>
        <v>0</v>
      </c>
      <c r="Y334" s="15">
        <f t="shared" si="108"/>
        <v>0</v>
      </c>
      <c r="Z334" s="52">
        <f t="shared" si="109"/>
        <v>0</v>
      </c>
      <c r="AA334" s="52">
        <f t="shared" si="110"/>
        <v>0</v>
      </c>
      <c r="AB334" s="15" t="e">
        <f t="shared" si="111"/>
        <v>#DIV/0!</v>
      </c>
      <c r="AC334" s="15" t="e">
        <f t="shared" si="120"/>
        <v>#DIV/0!</v>
      </c>
      <c r="AD334" s="15" t="e">
        <f t="shared" si="112"/>
        <v>#DIV/0!</v>
      </c>
      <c r="AE334" s="15" t="e">
        <f t="shared" si="113"/>
        <v>#DIV/0!</v>
      </c>
      <c r="AF334" s="15" t="e">
        <f t="shared" si="114"/>
        <v>#DIV/0!</v>
      </c>
      <c r="AG334" s="15" t="e">
        <f t="shared" si="115"/>
        <v>#DIV/0!</v>
      </c>
      <c r="AH334" s="53" t="e">
        <f t="shared" si="116"/>
        <v>#DIV/0!</v>
      </c>
      <c r="AI334" s="102" t="e">
        <f t="shared" si="121"/>
        <v>#DIV/0!</v>
      </c>
      <c r="AJ334" s="15"/>
      <c r="AK334" s="15" t="e">
        <f t="shared" si="105"/>
        <v>#DIV/0!</v>
      </c>
      <c r="AL334" s="15" t="e">
        <f t="shared" si="106"/>
        <v>#DIV/0!</v>
      </c>
      <c r="AM334" s="15">
        <f t="shared" si="122"/>
        <v>0</v>
      </c>
      <c r="AN334" s="15" t="e">
        <f t="shared" si="123"/>
        <v>#DIV/0!</v>
      </c>
    </row>
    <row r="335" spans="18:40" ht="13.8" x14ac:dyDescent="0.3">
      <c r="R335" s="51">
        <v>161.5</v>
      </c>
      <c r="S335" s="38">
        <f t="shared" si="117"/>
        <v>323</v>
      </c>
      <c r="T335" s="52">
        <f t="shared" si="107"/>
        <v>5.6374134839416845</v>
      </c>
      <c r="U335" s="52">
        <f t="shared" ref="U335:U372" si="124">SIN(T335/2)</f>
        <v>0.31730465640509214</v>
      </c>
      <c r="V335" s="52">
        <f t="shared" ref="V335:V372" si="125">SIN(T335)</f>
        <v>-0.60181502315204827</v>
      </c>
      <c r="W335" s="52">
        <f t="shared" si="118"/>
        <v>-0.94832365520619932</v>
      </c>
      <c r="X335" s="52">
        <f t="shared" si="119"/>
        <v>0</v>
      </c>
      <c r="Y335" s="15">
        <f t="shared" si="108"/>
        <v>0</v>
      </c>
      <c r="Z335" s="52">
        <f t="shared" si="109"/>
        <v>0</v>
      </c>
      <c r="AA335" s="52">
        <f t="shared" si="110"/>
        <v>0</v>
      </c>
      <c r="AB335" s="15" t="e">
        <f t="shared" si="111"/>
        <v>#DIV/0!</v>
      </c>
      <c r="AC335" s="15" t="e">
        <f t="shared" si="120"/>
        <v>#DIV/0!</v>
      </c>
      <c r="AD335" s="15" t="e">
        <f t="shared" si="112"/>
        <v>#DIV/0!</v>
      </c>
      <c r="AE335" s="15" t="e">
        <f t="shared" si="113"/>
        <v>#DIV/0!</v>
      </c>
      <c r="AF335" s="15" t="e">
        <f t="shared" si="114"/>
        <v>#DIV/0!</v>
      </c>
      <c r="AG335" s="15" t="e">
        <f t="shared" si="115"/>
        <v>#DIV/0!</v>
      </c>
      <c r="AH335" s="53" t="e">
        <f t="shared" si="116"/>
        <v>#DIV/0!</v>
      </c>
      <c r="AI335" s="102" t="e">
        <f t="shared" si="121"/>
        <v>#DIV/0!</v>
      </c>
      <c r="AJ335" s="15"/>
      <c r="AK335" s="15" t="e">
        <f t="shared" si="105"/>
        <v>#DIV/0!</v>
      </c>
      <c r="AL335" s="15" t="e">
        <f t="shared" si="106"/>
        <v>#DIV/0!</v>
      </c>
      <c r="AM335" s="15">
        <f t="shared" si="122"/>
        <v>0</v>
      </c>
      <c r="AN335" s="15" t="e">
        <f t="shared" si="123"/>
        <v>#DIV/0!</v>
      </c>
    </row>
    <row r="336" spans="18:40" ht="13.8" x14ac:dyDescent="0.3">
      <c r="R336" s="51">
        <v>162</v>
      </c>
      <c r="S336" s="38">
        <f t="shared" si="117"/>
        <v>324</v>
      </c>
      <c r="T336" s="52">
        <f t="shared" si="107"/>
        <v>5.6548667764616276</v>
      </c>
      <c r="U336" s="52">
        <f t="shared" si="124"/>
        <v>0.30901699437494751</v>
      </c>
      <c r="V336" s="52">
        <f t="shared" si="125"/>
        <v>-0.58778525229247336</v>
      </c>
      <c r="W336" s="52">
        <f t="shared" si="118"/>
        <v>-0.95105651629515353</v>
      </c>
      <c r="X336" s="52">
        <f t="shared" si="119"/>
        <v>0</v>
      </c>
      <c r="Y336" s="15">
        <f t="shared" si="108"/>
        <v>0</v>
      </c>
      <c r="Z336" s="52">
        <f t="shared" si="109"/>
        <v>0</v>
      </c>
      <c r="AA336" s="52">
        <f t="shared" si="110"/>
        <v>0</v>
      </c>
      <c r="AB336" s="15" t="e">
        <f t="shared" si="111"/>
        <v>#DIV/0!</v>
      </c>
      <c r="AC336" s="15" t="e">
        <f t="shared" si="120"/>
        <v>#DIV/0!</v>
      </c>
      <c r="AD336" s="15" t="e">
        <f t="shared" si="112"/>
        <v>#DIV/0!</v>
      </c>
      <c r="AE336" s="15" t="e">
        <f t="shared" si="113"/>
        <v>#DIV/0!</v>
      </c>
      <c r="AF336" s="15" t="e">
        <f t="shared" si="114"/>
        <v>#DIV/0!</v>
      </c>
      <c r="AG336" s="15" t="e">
        <f t="shared" si="115"/>
        <v>#DIV/0!</v>
      </c>
      <c r="AH336" s="53" t="e">
        <f t="shared" si="116"/>
        <v>#DIV/0!</v>
      </c>
      <c r="AI336" s="102" t="e">
        <f t="shared" si="121"/>
        <v>#DIV/0!</v>
      </c>
      <c r="AJ336" s="15"/>
      <c r="AK336" s="15" t="e">
        <f t="shared" si="105"/>
        <v>#DIV/0!</v>
      </c>
      <c r="AL336" s="15" t="e">
        <f t="shared" si="106"/>
        <v>#DIV/0!</v>
      </c>
      <c r="AM336" s="15">
        <f t="shared" si="122"/>
        <v>0</v>
      </c>
      <c r="AN336" s="15" t="e">
        <f t="shared" si="123"/>
        <v>#DIV/0!</v>
      </c>
    </row>
    <row r="337" spans="18:40" ht="13.8" x14ac:dyDescent="0.3">
      <c r="R337" s="51">
        <v>162.5</v>
      </c>
      <c r="S337" s="38">
        <f t="shared" si="117"/>
        <v>325</v>
      </c>
      <c r="T337" s="52">
        <f t="shared" si="107"/>
        <v>5.6723200689815707</v>
      </c>
      <c r="U337" s="52">
        <f t="shared" si="124"/>
        <v>0.30070579950427334</v>
      </c>
      <c r="V337" s="52">
        <f t="shared" si="125"/>
        <v>-0.57357643635104649</v>
      </c>
      <c r="W337" s="52">
        <f t="shared" si="118"/>
        <v>-0.95371695074822682</v>
      </c>
      <c r="X337" s="52">
        <f t="shared" si="119"/>
        <v>0</v>
      </c>
      <c r="Y337" s="15">
        <f t="shared" si="108"/>
        <v>0</v>
      </c>
      <c r="Z337" s="52">
        <f t="shared" si="109"/>
        <v>0</v>
      </c>
      <c r="AA337" s="52">
        <f t="shared" si="110"/>
        <v>0</v>
      </c>
      <c r="AB337" s="15" t="e">
        <f t="shared" si="111"/>
        <v>#DIV/0!</v>
      </c>
      <c r="AC337" s="15" t="e">
        <f t="shared" si="120"/>
        <v>#DIV/0!</v>
      </c>
      <c r="AD337" s="15" t="e">
        <f t="shared" si="112"/>
        <v>#DIV/0!</v>
      </c>
      <c r="AE337" s="15" t="e">
        <f t="shared" si="113"/>
        <v>#DIV/0!</v>
      </c>
      <c r="AF337" s="15" t="e">
        <f t="shared" si="114"/>
        <v>#DIV/0!</v>
      </c>
      <c r="AG337" s="15" t="e">
        <f t="shared" si="115"/>
        <v>#DIV/0!</v>
      </c>
      <c r="AH337" s="53" t="e">
        <f t="shared" si="116"/>
        <v>#DIV/0!</v>
      </c>
      <c r="AI337" s="102" t="e">
        <f t="shared" si="121"/>
        <v>#DIV/0!</v>
      </c>
      <c r="AJ337" s="15"/>
      <c r="AK337" s="15" t="e">
        <f t="shared" si="105"/>
        <v>#DIV/0!</v>
      </c>
      <c r="AL337" s="15" t="e">
        <f t="shared" si="106"/>
        <v>#DIV/0!</v>
      </c>
      <c r="AM337" s="15">
        <f t="shared" si="122"/>
        <v>0</v>
      </c>
      <c r="AN337" s="15" t="e">
        <f t="shared" si="123"/>
        <v>#DIV/0!</v>
      </c>
    </row>
    <row r="338" spans="18:40" ht="13.8" x14ac:dyDescent="0.3">
      <c r="R338" s="51">
        <v>163</v>
      </c>
      <c r="S338" s="38">
        <f t="shared" si="117"/>
        <v>326</v>
      </c>
      <c r="T338" s="52">
        <f t="shared" si="107"/>
        <v>5.6897733615015147</v>
      </c>
      <c r="U338" s="52">
        <f t="shared" si="124"/>
        <v>0.2923717047227366</v>
      </c>
      <c r="V338" s="52">
        <f t="shared" si="125"/>
        <v>-0.55919290347074657</v>
      </c>
      <c r="W338" s="52">
        <f t="shared" si="118"/>
        <v>-0.95630475596303555</v>
      </c>
      <c r="X338" s="52">
        <f t="shared" si="119"/>
        <v>0</v>
      </c>
      <c r="Y338" s="15">
        <f t="shared" si="108"/>
        <v>0</v>
      </c>
      <c r="Z338" s="52">
        <f t="shared" si="109"/>
        <v>0</v>
      </c>
      <c r="AA338" s="52">
        <f t="shared" si="110"/>
        <v>0</v>
      </c>
      <c r="AB338" s="15" t="e">
        <f t="shared" si="111"/>
        <v>#DIV/0!</v>
      </c>
      <c r="AC338" s="15" t="e">
        <f t="shared" si="120"/>
        <v>#DIV/0!</v>
      </c>
      <c r="AD338" s="15" t="e">
        <f t="shared" si="112"/>
        <v>#DIV/0!</v>
      </c>
      <c r="AE338" s="15" t="e">
        <f t="shared" si="113"/>
        <v>#DIV/0!</v>
      </c>
      <c r="AF338" s="15" t="e">
        <f t="shared" si="114"/>
        <v>#DIV/0!</v>
      </c>
      <c r="AG338" s="15" t="e">
        <f t="shared" si="115"/>
        <v>#DIV/0!</v>
      </c>
      <c r="AH338" s="53" t="e">
        <f t="shared" si="116"/>
        <v>#DIV/0!</v>
      </c>
      <c r="AI338" s="102" t="e">
        <f t="shared" si="121"/>
        <v>#DIV/0!</v>
      </c>
      <c r="AJ338" s="15"/>
      <c r="AK338" s="15" t="e">
        <f t="shared" si="105"/>
        <v>#DIV/0!</v>
      </c>
      <c r="AL338" s="15" t="e">
        <f t="shared" si="106"/>
        <v>#DIV/0!</v>
      </c>
      <c r="AM338" s="15">
        <f t="shared" si="122"/>
        <v>0</v>
      </c>
      <c r="AN338" s="15" t="e">
        <f t="shared" si="123"/>
        <v>#DIV/0!</v>
      </c>
    </row>
    <row r="339" spans="18:40" ht="13.8" x14ac:dyDescent="0.3">
      <c r="R339" s="51">
        <v>163.5</v>
      </c>
      <c r="S339" s="38">
        <f t="shared" si="117"/>
        <v>327</v>
      </c>
      <c r="T339" s="52">
        <f t="shared" si="107"/>
        <v>5.7072266540214578</v>
      </c>
      <c r="U339" s="52">
        <f t="shared" si="124"/>
        <v>0.28401534470392259</v>
      </c>
      <c r="V339" s="52">
        <f t="shared" si="125"/>
        <v>-0.54463903501502697</v>
      </c>
      <c r="W339" s="52">
        <f t="shared" si="118"/>
        <v>-0.95881973486819305</v>
      </c>
      <c r="X339" s="52">
        <f t="shared" si="119"/>
        <v>0</v>
      </c>
      <c r="Y339" s="15">
        <f t="shared" si="108"/>
        <v>0</v>
      </c>
      <c r="Z339" s="52">
        <f t="shared" si="109"/>
        <v>0</v>
      </c>
      <c r="AA339" s="52">
        <f t="shared" si="110"/>
        <v>0</v>
      </c>
      <c r="AB339" s="15" t="e">
        <f t="shared" si="111"/>
        <v>#DIV/0!</v>
      </c>
      <c r="AC339" s="15" t="e">
        <f t="shared" si="120"/>
        <v>#DIV/0!</v>
      </c>
      <c r="AD339" s="15" t="e">
        <f t="shared" si="112"/>
        <v>#DIV/0!</v>
      </c>
      <c r="AE339" s="15" t="e">
        <f t="shared" si="113"/>
        <v>#DIV/0!</v>
      </c>
      <c r="AF339" s="15" t="e">
        <f t="shared" si="114"/>
        <v>#DIV/0!</v>
      </c>
      <c r="AG339" s="15" t="e">
        <f t="shared" si="115"/>
        <v>#DIV/0!</v>
      </c>
      <c r="AH339" s="53" t="e">
        <f t="shared" si="116"/>
        <v>#DIV/0!</v>
      </c>
      <c r="AI339" s="102" t="e">
        <f t="shared" si="121"/>
        <v>#DIV/0!</v>
      </c>
      <c r="AJ339" s="15"/>
      <c r="AK339" s="15" t="e">
        <f t="shared" si="105"/>
        <v>#DIV/0!</v>
      </c>
      <c r="AL339" s="15" t="e">
        <f t="shared" si="106"/>
        <v>#DIV/0!</v>
      </c>
      <c r="AM339" s="15">
        <f t="shared" si="122"/>
        <v>0</v>
      </c>
      <c r="AN339" s="15" t="e">
        <f t="shared" si="123"/>
        <v>#DIV/0!</v>
      </c>
    </row>
    <row r="340" spans="18:40" ht="13.8" x14ac:dyDescent="0.3">
      <c r="R340" s="51">
        <v>164</v>
      </c>
      <c r="S340" s="38">
        <f t="shared" si="117"/>
        <v>328</v>
      </c>
      <c r="T340" s="52">
        <f t="shared" si="107"/>
        <v>5.7246799465414009</v>
      </c>
      <c r="U340" s="52">
        <f t="shared" si="124"/>
        <v>0.27563735581699922</v>
      </c>
      <c r="V340" s="52">
        <f t="shared" si="125"/>
        <v>-0.52991926423320501</v>
      </c>
      <c r="W340" s="52">
        <f t="shared" si="118"/>
        <v>-0.96126169593831889</v>
      </c>
      <c r="X340" s="52">
        <f t="shared" si="119"/>
        <v>0</v>
      </c>
      <c r="Y340" s="15">
        <f t="shared" si="108"/>
        <v>0</v>
      </c>
      <c r="Z340" s="52">
        <f t="shared" si="109"/>
        <v>0</v>
      </c>
      <c r="AA340" s="52">
        <f t="shared" si="110"/>
        <v>0</v>
      </c>
      <c r="AB340" s="15" t="e">
        <f t="shared" si="111"/>
        <v>#DIV/0!</v>
      </c>
      <c r="AC340" s="15" t="e">
        <f t="shared" si="120"/>
        <v>#DIV/0!</v>
      </c>
      <c r="AD340" s="15" t="e">
        <f t="shared" si="112"/>
        <v>#DIV/0!</v>
      </c>
      <c r="AE340" s="15" t="e">
        <f t="shared" si="113"/>
        <v>#DIV/0!</v>
      </c>
      <c r="AF340" s="15" t="e">
        <f t="shared" si="114"/>
        <v>#DIV/0!</v>
      </c>
      <c r="AG340" s="15" t="e">
        <f t="shared" si="115"/>
        <v>#DIV/0!</v>
      </c>
      <c r="AH340" s="53" t="e">
        <f t="shared" si="116"/>
        <v>#DIV/0!</v>
      </c>
      <c r="AI340" s="102" t="e">
        <f t="shared" si="121"/>
        <v>#DIV/0!</v>
      </c>
      <c r="AJ340" s="15"/>
      <c r="AK340" s="15" t="e">
        <f t="shared" si="105"/>
        <v>#DIV/0!</v>
      </c>
      <c r="AL340" s="15" t="e">
        <f t="shared" si="106"/>
        <v>#DIV/0!</v>
      </c>
      <c r="AM340" s="15">
        <f t="shared" si="122"/>
        <v>0</v>
      </c>
      <c r="AN340" s="15" t="e">
        <f t="shared" si="123"/>
        <v>#DIV/0!</v>
      </c>
    </row>
    <row r="341" spans="18:40" ht="13.8" x14ac:dyDescent="0.3">
      <c r="R341" s="51">
        <v>164.5</v>
      </c>
      <c r="S341" s="38">
        <f t="shared" si="117"/>
        <v>329</v>
      </c>
      <c r="T341" s="52">
        <f t="shared" si="107"/>
        <v>5.742133239061344</v>
      </c>
      <c r="U341" s="52">
        <f t="shared" si="124"/>
        <v>0.26723837607825701</v>
      </c>
      <c r="V341" s="52">
        <f t="shared" si="125"/>
        <v>-0.51503807491005449</v>
      </c>
      <c r="W341" s="52">
        <f t="shared" si="118"/>
        <v>-0.96363045320862295</v>
      </c>
      <c r="X341" s="52">
        <f t="shared" si="119"/>
        <v>0</v>
      </c>
      <c r="Y341" s="15">
        <f t="shared" si="108"/>
        <v>0</v>
      </c>
      <c r="Z341" s="52">
        <f t="shared" si="109"/>
        <v>0</v>
      </c>
      <c r="AA341" s="52">
        <f t="shared" si="110"/>
        <v>0</v>
      </c>
      <c r="AB341" s="15" t="e">
        <f t="shared" si="111"/>
        <v>#DIV/0!</v>
      </c>
      <c r="AC341" s="15" t="e">
        <f t="shared" si="120"/>
        <v>#DIV/0!</v>
      </c>
      <c r="AD341" s="15" t="e">
        <f t="shared" si="112"/>
        <v>#DIV/0!</v>
      </c>
      <c r="AE341" s="15" t="e">
        <f t="shared" si="113"/>
        <v>#DIV/0!</v>
      </c>
      <c r="AF341" s="15" t="e">
        <f t="shared" si="114"/>
        <v>#DIV/0!</v>
      </c>
      <c r="AG341" s="15" t="e">
        <f t="shared" si="115"/>
        <v>#DIV/0!</v>
      </c>
      <c r="AH341" s="53" t="e">
        <f t="shared" si="116"/>
        <v>#DIV/0!</v>
      </c>
      <c r="AI341" s="102" t="e">
        <f t="shared" si="121"/>
        <v>#DIV/0!</v>
      </c>
      <c r="AJ341" s="15"/>
      <c r="AK341" s="15" t="e">
        <f t="shared" si="105"/>
        <v>#DIV/0!</v>
      </c>
      <c r="AL341" s="15" t="e">
        <f t="shared" si="106"/>
        <v>#DIV/0!</v>
      </c>
      <c r="AM341" s="15">
        <f t="shared" si="122"/>
        <v>0</v>
      </c>
      <c r="AN341" s="15" t="e">
        <f t="shared" si="123"/>
        <v>#DIV/0!</v>
      </c>
    </row>
    <row r="342" spans="18:40" ht="13.8" x14ac:dyDescent="0.3">
      <c r="R342" s="51">
        <v>165</v>
      </c>
      <c r="S342" s="38">
        <f t="shared" si="117"/>
        <v>330</v>
      </c>
      <c r="T342" s="52">
        <f t="shared" si="107"/>
        <v>5.7595865315812871</v>
      </c>
      <c r="U342" s="52">
        <f t="shared" si="124"/>
        <v>0.25881904510252102</v>
      </c>
      <c r="V342" s="52">
        <f t="shared" si="125"/>
        <v>-0.50000000000000044</v>
      </c>
      <c r="W342" s="52">
        <f t="shared" si="118"/>
        <v>-0.9659258262890682</v>
      </c>
      <c r="X342" s="52">
        <f t="shared" si="119"/>
        <v>0</v>
      </c>
      <c r="Y342" s="15">
        <f t="shared" si="108"/>
        <v>0</v>
      </c>
      <c r="Z342" s="52">
        <f t="shared" si="109"/>
        <v>0</v>
      </c>
      <c r="AA342" s="52">
        <f t="shared" si="110"/>
        <v>0</v>
      </c>
      <c r="AB342" s="15" t="e">
        <f t="shared" si="111"/>
        <v>#DIV/0!</v>
      </c>
      <c r="AC342" s="15" t="e">
        <f t="shared" si="120"/>
        <v>#DIV/0!</v>
      </c>
      <c r="AD342" s="15" t="e">
        <f t="shared" si="112"/>
        <v>#DIV/0!</v>
      </c>
      <c r="AE342" s="15" t="e">
        <f t="shared" si="113"/>
        <v>#DIV/0!</v>
      </c>
      <c r="AF342" s="15" t="e">
        <f t="shared" si="114"/>
        <v>#DIV/0!</v>
      </c>
      <c r="AG342" s="15" t="e">
        <f t="shared" si="115"/>
        <v>#DIV/0!</v>
      </c>
      <c r="AH342" s="53" t="e">
        <f t="shared" si="116"/>
        <v>#DIV/0!</v>
      </c>
      <c r="AI342" s="102" t="e">
        <f t="shared" si="121"/>
        <v>#DIV/0!</v>
      </c>
      <c r="AJ342" s="15"/>
      <c r="AK342" s="15" t="e">
        <f t="shared" si="105"/>
        <v>#DIV/0!</v>
      </c>
      <c r="AL342" s="15" t="e">
        <f t="shared" si="106"/>
        <v>#DIV/0!</v>
      </c>
      <c r="AM342" s="15">
        <f t="shared" si="122"/>
        <v>0</v>
      </c>
      <c r="AN342" s="15" t="e">
        <f t="shared" si="123"/>
        <v>#DIV/0!</v>
      </c>
    </row>
    <row r="343" spans="18:40" ht="13.8" x14ac:dyDescent="0.3">
      <c r="R343" s="51">
        <v>165.5</v>
      </c>
      <c r="S343" s="38">
        <f t="shared" si="117"/>
        <v>331</v>
      </c>
      <c r="T343" s="52">
        <f t="shared" si="107"/>
        <v>5.7770398241012311</v>
      </c>
      <c r="U343" s="52">
        <f t="shared" si="124"/>
        <v>0.25038000405444133</v>
      </c>
      <c r="V343" s="52">
        <f t="shared" si="125"/>
        <v>-0.48480962024633689</v>
      </c>
      <c r="W343" s="52">
        <f t="shared" si="118"/>
        <v>-0.96814764037810774</v>
      </c>
      <c r="X343" s="52">
        <f t="shared" si="119"/>
        <v>0</v>
      </c>
      <c r="Y343" s="15">
        <f t="shared" si="108"/>
        <v>0</v>
      </c>
      <c r="Z343" s="52">
        <f t="shared" si="109"/>
        <v>0</v>
      </c>
      <c r="AA343" s="52">
        <f t="shared" si="110"/>
        <v>0</v>
      </c>
      <c r="AB343" s="15" t="e">
        <f t="shared" si="111"/>
        <v>#DIV/0!</v>
      </c>
      <c r="AC343" s="15" t="e">
        <f t="shared" si="120"/>
        <v>#DIV/0!</v>
      </c>
      <c r="AD343" s="15" t="e">
        <f t="shared" si="112"/>
        <v>#DIV/0!</v>
      </c>
      <c r="AE343" s="15" t="e">
        <f t="shared" si="113"/>
        <v>#DIV/0!</v>
      </c>
      <c r="AF343" s="15" t="e">
        <f t="shared" si="114"/>
        <v>#DIV/0!</v>
      </c>
      <c r="AG343" s="15" t="e">
        <f t="shared" si="115"/>
        <v>#DIV/0!</v>
      </c>
      <c r="AH343" s="53" t="e">
        <f t="shared" si="116"/>
        <v>#DIV/0!</v>
      </c>
      <c r="AI343" s="102" t="e">
        <f t="shared" si="121"/>
        <v>#DIV/0!</v>
      </c>
      <c r="AJ343" s="15"/>
      <c r="AK343" s="15" t="e">
        <f t="shared" si="105"/>
        <v>#DIV/0!</v>
      </c>
      <c r="AL343" s="15" t="e">
        <f t="shared" si="106"/>
        <v>#DIV/0!</v>
      </c>
      <c r="AM343" s="15">
        <f t="shared" si="122"/>
        <v>0</v>
      </c>
      <c r="AN343" s="15" t="e">
        <f t="shared" si="123"/>
        <v>#DIV/0!</v>
      </c>
    </row>
    <row r="344" spans="18:40" ht="13.8" x14ac:dyDescent="0.3">
      <c r="R344" s="51">
        <v>166</v>
      </c>
      <c r="S344" s="38">
        <f t="shared" si="117"/>
        <v>332</v>
      </c>
      <c r="T344" s="52">
        <f t="shared" si="107"/>
        <v>5.7944931166211742</v>
      </c>
      <c r="U344" s="52">
        <f t="shared" si="124"/>
        <v>0.24192189559966773</v>
      </c>
      <c r="V344" s="52">
        <f t="shared" si="125"/>
        <v>-0.46947156278589081</v>
      </c>
      <c r="W344" s="52">
        <f t="shared" si="118"/>
        <v>-0.97029572627599647</v>
      </c>
      <c r="X344" s="52">
        <f t="shared" si="119"/>
        <v>0</v>
      </c>
      <c r="Y344" s="15">
        <f t="shared" si="108"/>
        <v>0</v>
      </c>
      <c r="Z344" s="52">
        <f t="shared" si="109"/>
        <v>0</v>
      </c>
      <c r="AA344" s="52">
        <f t="shared" si="110"/>
        <v>0</v>
      </c>
      <c r="AB344" s="15" t="e">
        <f t="shared" si="111"/>
        <v>#DIV/0!</v>
      </c>
      <c r="AC344" s="15" t="e">
        <f t="shared" si="120"/>
        <v>#DIV/0!</v>
      </c>
      <c r="AD344" s="15" t="e">
        <f t="shared" si="112"/>
        <v>#DIV/0!</v>
      </c>
      <c r="AE344" s="15" t="e">
        <f t="shared" si="113"/>
        <v>#DIV/0!</v>
      </c>
      <c r="AF344" s="15" t="e">
        <f t="shared" si="114"/>
        <v>#DIV/0!</v>
      </c>
      <c r="AG344" s="15" t="e">
        <f t="shared" si="115"/>
        <v>#DIV/0!</v>
      </c>
      <c r="AH344" s="53" t="e">
        <f t="shared" si="116"/>
        <v>#DIV/0!</v>
      </c>
      <c r="AI344" s="102" t="e">
        <f t="shared" si="121"/>
        <v>#DIV/0!</v>
      </c>
      <c r="AJ344" s="15"/>
      <c r="AK344" s="15" t="e">
        <f t="shared" si="105"/>
        <v>#DIV/0!</v>
      </c>
      <c r="AL344" s="15" t="e">
        <f t="shared" si="106"/>
        <v>#DIV/0!</v>
      </c>
      <c r="AM344" s="15">
        <f t="shared" si="122"/>
        <v>0</v>
      </c>
      <c r="AN344" s="15" t="e">
        <f t="shared" si="123"/>
        <v>#DIV/0!</v>
      </c>
    </row>
    <row r="345" spans="18:40" ht="13.8" x14ac:dyDescent="0.3">
      <c r="R345" s="51">
        <v>166.5</v>
      </c>
      <c r="S345" s="38">
        <f t="shared" si="117"/>
        <v>333</v>
      </c>
      <c r="T345" s="52">
        <f t="shared" si="107"/>
        <v>5.8119464091411173</v>
      </c>
      <c r="U345" s="52">
        <f t="shared" si="124"/>
        <v>0.23344536385590553</v>
      </c>
      <c r="V345" s="52">
        <f t="shared" si="125"/>
        <v>-0.45399049973954697</v>
      </c>
      <c r="W345" s="52">
        <f t="shared" si="118"/>
        <v>-0.97236992039767656</v>
      </c>
      <c r="X345" s="52">
        <f t="shared" si="119"/>
        <v>0</v>
      </c>
      <c r="Y345" s="15">
        <f t="shared" si="108"/>
        <v>0</v>
      </c>
      <c r="Z345" s="52">
        <f t="shared" si="109"/>
        <v>0</v>
      </c>
      <c r="AA345" s="52">
        <f t="shared" si="110"/>
        <v>0</v>
      </c>
      <c r="AB345" s="15" t="e">
        <f t="shared" si="111"/>
        <v>#DIV/0!</v>
      </c>
      <c r="AC345" s="15" t="e">
        <f t="shared" si="120"/>
        <v>#DIV/0!</v>
      </c>
      <c r="AD345" s="15" t="e">
        <f t="shared" si="112"/>
        <v>#DIV/0!</v>
      </c>
      <c r="AE345" s="15" t="e">
        <f t="shared" si="113"/>
        <v>#DIV/0!</v>
      </c>
      <c r="AF345" s="15" t="e">
        <f t="shared" si="114"/>
        <v>#DIV/0!</v>
      </c>
      <c r="AG345" s="15" t="e">
        <f t="shared" si="115"/>
        <v>#DIV/0!</v>
      </c>
      <c r="AH345" s="53" t="e">
        <f t="shared" si="116"/>
        <v>#DIV/0!</v>
      </c>
      <c r="AI345" s="102" t="e">
        <f t="shared" si="121"/>
        <v>#DIV/0!</v>
      </c>
      <c r="AJ345" s="15"/>
      <c r="AK345" s="15" t="e">
        <f t="shared" si="105"/>
        <v>#DIV/0!</v>
      </c>
      <c r="AL345" s="15" t="e">
        <f t="shared" si="106"/>
        <v>#DIV/0!</v>
      </c>
      <c r="AM345" s="15">
        <f t="shared" si="122"/>
        <v>0</v>
      </c>
      <c r="AN345" s="15" t="e">
        <f t="shared" si="123"/>
        <v>#DIV/0!</v>
      </c>
    </row>
    <row r="346" spans="18:40" ht="13.8" x14ac:dyDescent="0.3">
      <c r="R346" s="51">
        <v>167</v>
      </c>
      <c r="S346" s="38">
        <f t="shared" si="117"/>
        <v>334</v>
      </c>
      <c r="T346" s="52">
        <f t="shared" si="107"/>
        <v>5.8293997016610604</v>
      </c>
      <c r="U346" s="52">
        <f t="shared" si="124"/>
        <v>0.2249510543438652</v>
      </c>
      <c r="V346" s="52">
        <f t="shared" si="125"/>
        <v>-0.43837114678907779</v>
      </c>
      <c r="W346" s="52">
        <f t="shared" si="118"/>
        <v>-0.97437006478523513</v>
      </c>
      <c r="X346" s="52">
        <f t="shared" si="119"/>
        <v>0</v>
      </c>
      <c r="Y346" s="15">
        <f t="shared" si="108"/>
        <v>0</v>
      </c>
      <c r="Z346" s="52">
        <f t="shared" si="109"/>
        <v>0</v>
      </c>
      <c r="AA346" s="52">
        <f t="shared" si="110"/>
        <v>0</v>
      </c>
      <c r="AB346" s="15" t="e">
        <f t="shared" si="111"/>
        <v>#DIV/0!</v>
      </c>
      <c r="AC346" s="15" t="e">
        <f t="shared" si="120"/>
        <v>#DIV/0!</v>
      </c>
      <c r="AD346" s="15" t="e">
        <f t="shared" si="112"/>
        <v>#DIV/0!</v>
      </c>
      <c r="AE346" s="15" t="e">
        <f t="shared" si="113"/>
        <v>#DIV/0!</v>
      </c>
      <c r="AF346" s="15" t="e">
        <f t="shared" si="114"/>
        <v>#DIV/0!</v>
      </c>
      <c r="AG346" s="15" t="e">
        <f t="shared" si="115"/>
        <v>#DIV/0!</v>
      </c>
      <c r="AH346" s="53" t="e">
        <f t="shared" si="116"/>
        <v>#DIV/0!</v>
      </c>
      <c r="AI346" s="102" t="e">
        <f t="shared" si="121"/>
        <v>#DIV/0!</v>
      </c>
      <c r="AJ346" s="15"/>
      <c r="AK346" s="15" t="e">
        <f t="shared" si="105"/>
        <v>#DIV/0!</v>
      </c>
      <c r="AL346" s="15" t="e">
        <f t="shared" si="106"/>
        <v>#DIV/0!</v>
      </c>
      <c r="AM346" s="15">
        <f t="shared" si="122"/>
        <v>0</v>
      </c>
      <c r="AN346" s="15" t="e">
        <f t="shared" si="123"/>
        <v>#DIV/0!</v>
      </c>
    </row>
    <row r="347" spans="18:40" ht="13.8" x14ac:dyDescent="0.3">
      <c r="R347" s="51">
        <v>167.5</v>
      </c>
      <c r="S347" s="38">
        <f t="shared" si="117"/>
        <v>335</v>
      </c>
      <c r="T347" s="52">
        <f t="shared" si="107"/>
        <v>5.8468529941810043</v>
      </c>
      <c r="U347" s="52">
        <f t="shared" si="124"/>
        <v>0.21643961393810274</v>
      </c>
      <c r="V347" s="52">
        <f t="shared" si="125"/>
        <v>-0.42261826174069922</v>
      </c>
      <c r="W347" s="52">
        <f t="shared" si="118"/>
        <v>-0.97629600711993336</v>
      </c>
      <c r="X347" s="52">
        <f t="shared" si="119"/>
        <v>0</v>
      </c>
      <c r="Y347" s="15">
        <f t="shared" si="108"/>
        <v>0</v>
      </c>
      <c r="Z347" s="52">
        <f t="shared" si="109"/>
        <v>0</v>
      </c>
      <c r="AA347" s="52">
        <f t="shared" si="110"/>
        <v>0</v>
      </c>
      <c r="AB347" s="15" t="e">
        <f t="shared" si="111"/>
        <v>#DIV/0!</v>
      </c>
      <c r="AC347" s="15" t="e">
        <f t="shared" si="120"/>
        <v>#DIV/0!</v>
      </c>
      <c r="AD347" s="15" t="e">
        <f t="shared" si="112"/>
        <v>#DIV/0!</v>
      </c>
      <c r="AE347" s="15" t="e">
        <f t="shared" si="113"/>
        <v>#DIV/0!</v>
      </c>
      <c r="AF347" s="15" t="e">
        <f t="shared" si="114"/>
        <v>#DIV/0!</v>
      </c>
      <c r="AG347" s="15" t="e">
        <f t="shared" si="115"/>
        <v>#DIV/0!</v>
      </c>
      <c r="AH347" s="53" t="e">
        <f t="shared" si="116"/>
        <v>#DIV/0!</v>
      </c>
      <c r="AI347" s="102" t="e">
        <f t="shared" si="121"/>
        <v>#DIV/0!</v>
      </c>
      <c r="AJ347" s="15"/>
      <c r="AK347" s="15" t="e">
        <f t="shared" si="105"/>
        <v>#DIV/0!</v>
      </c>
      <c r="AL347" s="15" t="e">
        <f t="shared" si="106"/>
        <v>#DIV/0!</v>
      </c>
      <c r="AM347" s="15">
        <f t="shared" si="122"/>
        <v>0</v>
      </c>
      <c r="AN347" s="15" t="e">
        <f t="shared" si="123"/>
        <v>#DIV/0!</v>
      </c>
    </row>
    <row r="348" spans="18:40" ht="13.8" x14ac:dyDescent="0.3">
      <c r="R348" s="51">
        <v>168</v>
      </c>
      <c r="S348" s="38">
        <f t="shared" si="117"/>
        <v>336</v>
      </c>
      <c r="T348" s="52">
        <f t="shared" si="107"/>
        <v>5.8643062867009474</v>
      </c>
      <c r="U348" s="52">
        <f t="shared" si="124"/>
        <v>0.20791169081775931</v>
      </c>
      <c r="V348" s="52">
        <f t="shared" si="125"/>
        <v>-0.40673664307580015</v>
      </c>
      <c r="W348" s="52">
        <f t="shared" si="118"/>
        <v>-0.97814760073380569</v>
      </c>
      <c r="X348" s="52">
        <f t="shared" si="119"/>
        <v>0</v>
      </c>
      <c r="Y348" s="15">
        <f t="shared" si="108"/>
        <v>0</v>
      </c>
      <c r="Z348" s="52">
        <f t="shared" si="109"/>
        <v>0</v>
      </c>
      <c r="AA348" s="52">
        <f t="shared" si="110"/>
        <v>0</v>
      </c>
      <c r="AB348" s="15" t="e">
        <f t="shared" si="111"/>
        <v>#DIV/0!</v>
      </c>
      <c r="AC348" s="15" t="e">
        <f t="shared" si="120"/>
        <v>#DIV/0!</v>
      </c>
      <c r="AD348" s="15" t="e">
        <f t="shared" si="112"/>
        <v>#DIV/0!</v>
      </c>
      <c r="AE348" s="15" t="e">
        <f t="shared" si="113"/>
        <v>#DIV/0!</v>
      </c>
      <c r="AF348" s="15" t="e">
        <f t="shared" si="114"/>
        <v>#DIV/0!</v>
      </c>
      <c r="AG348" s="15" t="e">
        <f t="shared" si="115"/>
        <v>#DIV/0!</v>
      </c>
      <c r="AH348" s="53" t="e">
        <f t="shared" si="116"/>
        <v>#DIV/0!</v>
      </c>
      <c r="AI348" s="102" t="e">
        <f t="shared" si="121"/>
        <v>#DIV/0!</v>
      </c>
      <c r="AJ348" s="15"/>
      <c r="AK348" s="15" t="e">
        <f t="shared" si="105"/>
        <v>#DIV/0!</v>
      </c>
      <c r="AL348" s="15" t="e">
        <f t="shared" si="106"/>
        <v>#DIV/0!</v>
      </c>
      <c r="AM348" s="15">
        <f t="shared" si="122"/>
        <v>0</v>
      </c>
      <c r="AN348" s="15" t="e">
        <f t="shared" si="123"/>
        <v>#DIV/0!</v>
      </c>
    </row>
    <row r="349" spans="18:40" ht="13.8" x14ac:dyDescent="0.3">
      <c r="R349" s="51">
        <v>168.5</v>
      </c>
      <c r="S349" s="38">
        <f t="shared" si="117"/>
        <v>337</v>
      </c>
      <c r="T349" s="52">
        <f t="shared" si="107"/>
        <v>5.8817595792208905</v>
      </c>
      <c r="U349" s="52">
        <f t="shared" si="124"/>
        <v>0.19936793441719725</v>
      </c>
      <c r="V349" s="52">
        <f t="shared" si="125"/>
        <v>-0.39073112848927388</v>
      </c>
      <c r="W349" s="52">
        <f t="shared" si="118"/>
        <v>-0.97992470462082959</v>
      </c>
      <c r="X349" s="52">
        <f t="shared" si="119"/>
        <v>0</v>
      </c>
      <c r="Y349" s="15">
        <f t="shared" si="108"/>
        <v>0</v>
      </c>
      <c r="Z349" s="52">
        <f t="shared" si="109"/>
        <v>0</v>
      </c>
      <c r="AA349" s="52">
        <f t="shared" si="110"/>
        <v>0</v>
      </c>
      <c r="AB349" s="15" t="e">
        <f t="shared" si="111"/>
        <v>#DIV/0!</v>
      </c>
      <c r="AC349" s="15" t="e">
        <f t="shared" si="120"/>
        <v>#DIV/0!</v>
      </c>
      <c r="AD349" s="15" t="e">
        <f t="shared" si="112"/>
        <v>#DIV/0!</v>
      </c>
      <c r="AE349" s="15" t="e">
        <f t="shared" si="113"/>
        <v>#DIV/0!</v>
      </c>
      <c r="AF349" s="15" t="e">
        <f t="shared" si="114"/>
        <v>#DIV/0!</v>
      </c>
      <c r="AG349" s="15" t="e">
        <f t="shared" si="115"/>
        <v>#DIV/0!</v>
      </c>
      <c r="AH349" s="53" t="e">
        <f t="shared" si="116"/>
        <v>#DIV/0!</v>
      </c>
      <c r="AI349" s="102" t="e">
        <f t="shared" si="121"/>
        <v>#DIV/0!</v>
      </c>
      <c r="AJ349" s="15"/>
      <c r="AK349" s="15" t="e">
        <f t="shared" si="105"/>
        <v>#DIV/0!</v>
      </c>
      <c r="AL349" s="15" t="e">
        <f t="shared" si="106"/>
        <v>#DIV/0!</v>
      </c>
      <c r="AM349" s="15">
        <f t="shared" si="122"/>
        <v>0</v>
      </c>
      <c r="AN349" s="15" t="e">
        <f t="shared" si="123"/>
        <v>#DIV/0!</v>
      </c>
    </row>
    <row r="350" spans="18:40" ht="13.8" x14ac:dyDescent="0.3">
      <c r="R350" s="51">
        <v>169</v>
      </c>
      <c r="S350" s="38">
        <f t="shared" si="117"/>
        <v>338</v>
      </c>
      <c r="T350" s="52">
        <f t="shared" si="107"/>
        <v>5.8992128717408336</v>
      </c>
      <c r="U350" s="52">
        <f t="shared" si="124"/>
        <v>0.19080899537654497</v>
      </c>
      <c r="V350" s="52">
        <f t="shared" si="125"/>
        <v>-0.37460659341591235</v>
      </c>
      <c r="W350" s="52">
        <f t="shared" si="118"/>
        <v>-0.98162718344766398</v>
      </c>
      <c r="X350" s="52">
        <f t="shared" si="119"/>
        <v>0</v>
      </c>
      <c r="Y350" s="15">
        <f t="shared" si="108"/>
        <v>0</v>
      </c>
      <c r="Z350" s="52">
        <f t="shared" si="109"/>
        <v>0</v>
      </c>
      <c r="AA350" s="52">
        <f t="shared" si="110"/>
        <v>0</v>
      </c>
      <c r="AB350" s="15" t="e">
        <f t="shared" si="111"/>
        <v>#DIV/0!</v>
      </c>
      <c r="AC350" s="15" t="e">
        <f t="shared" si="120"/>
        <v>#DIV/0!</v>
      </c>
      <c r="AD350" s="15" t="e">
        <f t="shared" si="112"/>
        <v>#DIV/0!</v>
      </c>
      <c r="AE350" s="15" t="e">
        <f t="shared" si="113"/>
        <v>#DIV/0!</v>
      </c>
      <c r="AF350" s="15" t="e">
        <f t="shared" si="114"/>
        <v>#DIV/0!</v>
      </c>
      <c r="AG350" s="15" t="e">
        <f t="shared" si="115"/>
        <v>#DIV/0!</v>
      </c>
      <c r="AH350" s="53" t="e">
        <f t="shared" si="116"/>
        <v>#DIV/0!</v>
      </c>
      <c r="AI350" s="102" t="e">
        <f t="shared" si="121"/>
        <v>#DIV/0!</v>
      </c>
      <c r="AJ350" s="15"/>
      <c r="AK350" s="15" t="e">
        <f t="shared" si="105"/>
        <v>#DIV/0!</v>
      </c>
      <c r="AL350" s="15" t="e">
        <f t="shared" si="106"/>
        <v>#DIV/0!</v>
      </c>
      <c r="AM350" s="15">
        <f t="shared" si="122"/>
        <v>0</v>
      </c>
      <c r="AN350" s="15" t="e">
        <f t="shared" si="123"/>
        <v>#DIV/0!</v>
      </c>
    </row>
    <row r="351" spans="18:40" ht="13.8" x14ac:dyDescent="0.3">
      <c r="R351" s="51">
        <v>169.5</v>
      </c>
      <c r="S351" s="38">
        <f t="shared" si="117"/>
        <v>339</v>
      </c>
      <c r="T351" s="52">
        <f t="shared" si="107"/>
        <v>5.9166661642607767</v>
      </c>
      <c r="U351" s="52">
        <f t="shared" si="124"/>
        <v>0.18223552549214772</v>
      </c>
      <c r="V351" s="52">
        <f t="shared" si="125"/>
        <v>-0.35836794954530077</v>
      </c>
      <c r="W351" s="52">
        <f t="shared" si="118"/>
        <v>-0.98325490756395451</v>
      </c>
      <c r="X351" s="52">
        <f t="shared" si="119"/>
        <v>0</v>
      </c>
      <c r="Y351" s="15">
        <f t="shared" si="108"/>
        <v>0</v>
      </c>
      <c r="Z351" s="52">
        <f t="shared" si="109"/>
        <v>0</v>
      </c>
      <c r="AA351" s="52">
        <f t="shared" si="110"/>
        <v>0</v>
      </c>
      <c r="AB351" s="15" t="e">
        <f t="shared" si="111"/>
        <v>#DIV/0!</v>
      </c>
      <c r="AC351" s="15" t="e">
        <f t="shared" si="120"/>
        <v>#DIV/0!</v>
      </c>
      <c r="AD351" s="15" t="e">
        <f t="shared" si="112"/>
        <v>#DIV/0!</v>
      </c>
      <c r="AE351" s="15" t="e">
        <f t="shared" si="113"/>
        <v>#DIV/0!</v>
      </c>
      <c r="AF351" s="15" t="e">
        <f t="shared" si="114"/>
        <v>#DIV/0!</v>
      </c>
      <c r="AG351" s="15" t="e">
        <f t="shared" si="115"/>
        <v>#DIV/0!</v>
      </c>
      <c r="AH351" s="53" t="e">
        <f t="shared" si="116"/>
        <v>#DIV/0!</v>
      </c>
      <c r="AI351" s="102" t="e">
        <f t="shared" si="121"/>
        <v>#DIV/0!</v>
      </c>
      <c r="AJ351" s="15"/>
      <c r="AK351" s="15" t="e">
        <f t="shared" si="105"/>
        <v>#DIV/0!</v>
      </c>
      <c r="AL351" s="15" t="e">
        <f t="shared" si="106"/>
        <v>#DIV/0!</v>
      </c>
      <c r="AM351" s="15">
        <f t="shared" si="122"/>
        <v>0</v>
      </c>
      <c r="AN351" s="15" t="e">
        <f t="shared" si="123"/>
        <v>#DIV/0!</v>
      </c>
    </row>
    <row r="352" spans="18:40" ht="13.8" x14ac:dyDescent="0.3">
      <c r="R352" s="51">
        <v>170</v>
      </c>
      <c r="S352" s="38">
        <f t="shared" si="117"/>
        <v>340</v>
      </c>
      <c r="T352" s="52">
        <f t="shared" si="107"/>
        <v>5.9341194567807207</v>
      </c>
      <c r="U352" s="52">
        <f t="shared" si="124"/>
        <v>0.17364817766693028</v>
      </c>
      <c r="V352" s="52">
        <f t="shared" si="125"/>
        <v>-0.3420201433256686</v>
      </c>
      <c r="W352" s="52">
        <f t="shared" si="118"/>
        <v>-0.98480775301220802</v>
      </c>
      <c r="X352" s="52">
        <f t="shared" si="119"/>
        <v>0</v>
      </c>
      <c r="Y352" s="15">
        <f t="shared" si="108"/>
        <v>0</v>
      </c>
      <c r="Z352" s="52">
        <f t="shared" si="109"/>
        <v>0</v>
      </c>
      <c r="AA352" s="52">
        <f t="shared" si="110"/>
        <v>0</v>
      </c>
      <c r="AB352" s="15" t="e">
        <f t="shared" si="111"/>
        <v>#DIV/0!</v>
      </c>
      <c r="AC352" s="15" t="e">
        <f t="shared" si="120"/>
        <v>#DIV/0!</v>
      </c>
      <c r="AD352" s="15" t="e">
        <f t="shared" si="112"/>
        <v>#DIV/0!</v>
      </c>
      <c r="AE352" s="15" t="e">
        <f t="shared" si="113"/>
        <v>#DIV/0!</v>
      </c>
      <c r="AF352" s="15" t="e">
        <f t="shared" si="114"/>
        <v>#DIV/0!</v>
      </c>
      <c r="AG352" s="15" t="e">
        <f t="shared" si="115"/>
        <v>#DIV/0!</v>
      </c>
      <c r="AH352" s="53" t="e">
        <f t="shared" si="116"/>
        <v>#DIV/0!</v>
      </c>
      <c r="AI352" s="102" t="e">
        <f t="shared" si="121"/>
        <v>#DIV/0!</v>
      </c>
      <c r="AJ352" s="15"/>
      <c r="AK352" s="15" t="e">
        <f t="shared" si="105"/>
        <v>#DIV/0!</v>
      </c>
      <c r="AL352" s="15" t="e">
        <f t="shared" si="106"/>
        <v>#DIV/0!</v>
      </c>
      <c r="AM352" s="15">
        <f t="shared" si="122"/>
        <v>0</v>
      </c>
      <c r="AN352" s="15" t="e">
        <f t="shared" si="123"/>
        <v>#DIV/0!</v>
      </c>
    </row>
    <row r="353" spans="18:40" ht="13.8" x14ac:dyDescent="0.3">
      <c r="R353" s="51">
        <v>170.5</v>
      </c>
      <c r="S353" s="38">
        <f t="shared" si="117"/>
        <v>341</v>
      </c>
      <c r="T353" s="52">
        <f t="shared" si="107"/>
        <v>5.9515727493006638</v>
      </c>
      <c r="U353" s="52">
        <f t="shared" si="124"/>
        <v>0.16504760586067765</v>
      </c>
      <c r="V353" s="52">
        <f t="shared" si="125"/>
        <v>-0.3255681544571567</v>
      </c>
      <c r="W353" s="52">
        <f t="shared" si="118"/>
        <v>-0.98628560153723144</v>
      </c>
      <c r="X353" s="52">
        <f t="shared" si="119"/>
        <v>0</v>
      </c>
      <c r="Y353" s="15">
        <f t="shared" si="108"/>
        <v>0</v>
      </c>
      <c r="Z353" s="52">
        <f t="shared" si="109"/>
        <v>0</v>
      </c>
      <c r="AA353" s="52">
        <f t="shared" si="110"/>
        <v>0</v>
      </c>
      <c r="AB353" s="15" t="e">
        <f t="shared" si="111"/>
        <v>#DIV/0!</v>
      </c>
      <c r="AC353" s="15" t="e">
        <f t="shared" si="120"/>
        <v>#DIV/0!</v>
      </c>
      <c r="AD353" s="15" t="e">
        <f t="shared" si="112"/>
        <v>#DIV/0!</v>
      </c>
      <c r="AE353" s="15" t="e">
        <f t="shared" si="113"/>
        <v>#DIV/0!</v>
      </c>
      <c r="AF353" s="15" t="e">
        <f t="shared" si="114"/>
        <v>#DIV/0!</v>
      </c>
      <c r="AG353" s="15" t="e">
        <f t="shared" si="115"/>
        <v>#DIV/0!</v>
      </c>
      <c r="AH353" s="53" t="e">
        <f t="shared" si="116"/>
        <v>#DIV/0!</v>
      </c>
      <c r="AI353" s="102" t="e">
        <f t="shared" si="121"/>
        <v>#DIV/0!</v>
      </c>
      <c r="AJ353" s="15"/>
      <c r="AK353" s="15" t="e">
        <f t="shared" si="105"/>
        <v>#DIV/0!</v>
      </c>
      <c r="AL353" s="15" t="e">
        <f t="shared" si="106"/>
        <v>#DIV/0!</v>
      </c>
      <c r="AM353" s="15">
        <f t="shared" si="122"/>
        <v>0</v>
      </c>
      <c r="AN353" s="15" t="e">
        <f t="shared" si="123"/>
        <v>#DIV/0!</v>
      </c>
    </row>
    <row r="354" spans="18:40" ht="13.8" x14ac:dyDescent="0.3">
      <c r="R354" s="51">
        <v>171</v>
      </c>
      <c r="S354" s="38">
        <f t="shared" si="117"/>
        <v>342</v>
      </c>
      <c r="T354" s="52">
        <f t="shared" si="107"/>
        <v>5.9690260418206069</v>
      </c>
      <c r="U354" s="52">
        <f t="shared" si="124"/>
        <v>0.15643446504023098</v>
      </c>
      <c r="V354" s="52">
        <f t="shared" si="125"/>
        <v>-0.30901699437494762</v>
      </c>
      <c r="W354" s="52">
        <f t="shared" si="118"/>
        <v>-0.98768834059513766</v>
      </c>
      <c r="X354" s="52">
        <f t="shared" si="119"/>
        <v>0</v>
      </c>
      <c r="Y354" s="15">
        <f t="shared" si="108"/>
        <v>0</v>
      </c>
      <c r="Z354" s="52">
        <f t="shared" si="109"/>
        <v>0</v>
      </c>
      <c r="AA354" s="52">
        <f t="shared" si="110"/>
        <v>0</v>
      </c>
      <c r="AB354" s="15" t="e">
        <f t="shared" si="111"/>
        <v>#DIV/0!</v>
      </c>
      <c r="AC354" s="15" t="e">
        <f t="shared" si="120"/>
        <v>#DIV/0!</v>
      </c>
      <c r="AD354" s="15" t="e">
        <f t="shared" si="112"/>
        <v>#DIV/0!</v>
      </c>
      <c r="AE354" s="15" t="e">
        <f t="shared" si="113"/>
        <v>#DIV/0!</v>
      </c>
      <c r="AF354" s="15" t="e">
        <f t="shared" si="114"/>
        <v>#DIV/0!</v>
      </c>
      <c r="AG354" s="15" t="e">
        <f t="shared" si="115"/>
        <v>#DIV/0!</v>
      </c>
      <c r="AH354" s="53" t="e">
        <f t="shared" si="116"/>
        <v>#DIV/0!</v>
      </c>
      <c r="AI354" s="102" t="e">
        <f t="shared" si="121"/>
        <v>#DIV/0!</v>
      </c>
      <c r="AJ354" s="15"/>
      <c r="AK354" s="15" t="e">
        <f t="shared" si="105"/>
        <v>#DIV/0!</v>
      </c>
      <c r="AL354" s="15" t="e">
        <f t="shared" si="106"/>
        <v>#DIV/0!</v>
      </c>
      <c r="AM354" s="15">
        <f t="shared" si="122"/>
        <v>0</v>
      </c>
      <c r="AN354" s="15" t="e">
        <f t="shared" si="123"/>
        <v>#DIV/0!</v>
      </c>
    </row>
    <row r="355" spans="18:40" ht="13.8" x14ac:dyDescent="0.3">
      <c r="R355" s="51">
        <v>171.5</v>
      </c>
      <c r="S355" s="38">
        <f t="shared" si="117"/>
        <v>343</v>
      </c>
      <c r="T355" s="52">
        <f t="shared" si="107"/>
        <v>5.98647933434055</v>
      </c>
      <c r="U355" s="52">
        <f t="shared" si="124"/>
        <v>0.14780941112961082</v>
      </c>
      <c r="V355" s="52">
        <f t="shared" si="125"/>
        <v>-0.29237170472273716</v>
      </c>
      <c r="W355" s="52">
        <f t="shared" si="118"/>
        <v>-0.98901586336191682</v>
      </c>
      <c r="X355" s="52">
        <f t="shared" si="119"/>
        <v>0</v>
      </c>
      <c r="Y355" s="15">
        <f t="shared" si="108"/>
        <v>0</v>
      </c>
      <c r="Z355" s="52">
        <f t="shared" si="109"/>
        <v>0</v>
      </c>
      <c r="AA355" s="52">
        <f t="shared" si="110"/>
        <v>0</v>
      </c>
      <c r="AB355" s="15" t="e">
        <f t="shared" si="111"/>
        <v>#DIV/0!</v>
      </c>
      <c r="AC355" s="15" t="e">
        <f t="shared" si="120"/>
        <v>#DIV/0!</v>
      </c>
      <c r="AD355" s="15" t="e">
        <f t="shared" si="112"/>
        <v>#DIV/0!</v>
      </c>
      <c r="AE355" s="15" t="e">
        <f t="shared" si="113"/>
        <v>#DIV/0!</v>
      </c>
      <c r="AF355" s="15" t="e">
        <f t="shared" si="114"/>
        <v>#DIV/0!</v>
      </c>
      <c r="AG355" s="15" t="e">
        <f t="shared" si="115"/>
        <v>#DIV/0!</v>
      </c>
      <c r="AH355" s="53" t="e">
        <f t="shared" si="116"/>
        <v>#DIV/0!</v>
      </c>
      <c r="AI355" s="102" t="e">
        <f t="shared" si="121"/>
        <v>#DIV/0!</v>
      </c>
      <c r="AJ355" s="15"/>
      <c r="AK355" s="15" t="e">
        <f t="shared" si="105"/>
        <v>#DIV/0!</v>
      </c>
      <c r="AL355" s="15" t="e">
        <f t="shared" si="106"/>
        <v>#DIV/0!</v>
      </c>
      <c r="AM355" s="15">
        <f t="shared" si="122"/>
        <v>0</v>
      </c>
      <c r="AN355" s="15" t="e">
        <f t="shared" si="123"/>
        <v>#DIV/0!</v>
      </c>
    </row>
    <row r="356" spans="18:40" ht="13.8" x14ac:dyDescent="0.3">
      <c r="R356" s="51">
        <v>172</v>
      </c>
      <c r="S356" s="38">
        <f t="shared" si="117"/>
        <v>344</v>
      </c>
      <c r="T356" s="52">
        <f t="shared" si="107"/>
        <v>6.003932626860494</v>
      </c>
      <c r="U356" s="52">
        <f t="shared" si="124"/>
        <v>0.13917310096006533</v>
      </c>
      <c r="V356" s="52">
        <f t="shared" si="125"/>
        <v>-0.27563735581699894</v>
      </c>
      <c r="W356" s="52">
        <f t="shared" si="118"/>
        <v>-0.99026806874157036</v>
      </c>
      <c r="X356" s="52">
        <f t="shared" si="119"/>
        <v>0</v>
      </c>
      <c r="Y356" s="15">
        <f t="shared" si="108"/>
        <v>0</v>
      </c>
      <c r="Z356" s="52">
        <f t="shared" si="109"/>
        <v>0</v>
      </c>
      <c r="AA356" s="52">
        <f t="shared" si="110"/>
        <v>0</v>
      </c>
      <c r="AB356" s="15" t="e">
        <f t="shared" si="111"/>
        <v>#DIV/0!</v>
      </c>
      <c r="AC356" s="15" t="e">
        <f t="shared" si="120"/>
        <v>#DIV/0!</v>
      </c>
      <c r="AD356" s="15" t="e">
        <f t="shared" si="112"/>
        <v>#DIV/0!</v>
      </c>
      <c r="AE356" s="15" t="e">
        <f t="shared" si="113"/>
        <v>#DIV/0!</v>
      </c>
      <c r="AF356" s="15" t="e">
        <f t="shared" si="114"/>
        <v>#DIV/0!</v>
      </c>
      <c r="AG356" s="15" t="e">
        <f t="shared" si="115"/>
        <v>#DIV/0!</v>
      </c>
      <c r="AH356" s="53" t="e">
        <f t="shared" si="116"/>
        <v>#DIV/0!</v>
      </c>
      <c r="AI356" s="102" t="e">
        <f t="shared" si="121"/>
        <v>#DIV/0!</v>
      </c>
      <c r="AJ356" s="15"/>
      <c r="AK356" s="15" t="e">
        <f t="shared" si="105"/>
        <v>#DIV/0!</v>
      </c>
      <c r="AL356" s="15" t="e">
        <f t="shared" si="106"/>
        <v>#DIV/0!</v>
      </c>
      <c r="AM356" s="15">
        <f t="shared" si="122"/>
        <v>0</v>
      </c>
      <c r="AN356" s="15" t="e">
        <f t="shared" si="123"/>
        <v>#DIV/0!</v>
      </c>
    </row>
    <row r="357" spans="18:40" ht="13.8" x14ac:dyDescent="0.3">
      <c r="R357" s="51">
        <v>172.5</v>
      </c>
      <c r="S357" s="38">
        <f t="shared" si="117"/>
        <v>345</v>
      </c>
      <c r="T357" s="52">
        <f t="shared" si="107"/>
        <v>6.0213859193804371</v>
      </c>
      <c r="U357" s="52">
        <f t="shared" si="124"/>
        <v>0.13052619222005157</v>
      </c>
      <c r="V357" s="52">
        <f t="shared" si="125"/>
        <v>-0.25881904510252068</v>
      </c>
      <c r="W357" s="52">
        <f t="shared" si="118"/>
        <v>-0.99144486137381038</v>
      </c>
      <c r="X357" s="52">
        <f t="shared" si="119"/>
        <v>0</v>
      </c>
      <c r="Y357" s="15">
        <f t="shared" si="108"/>
        <v>0</v>
      </c>
      <c r="Z357" s="52">
        <f t="shared" si="109"/>
        <v>0</v>
      </c>
      <c r="AA357" s="52">
        <f t="shared" si="110"/>
        <v>0</v>
      </c>
      <c r="AB357" s="15" t="e">
        <f t="shared" si="111"/>
        <v>#DIV/0!</v>
      </c>
      <c r="AC357" s="15" t="e">
        <f t="shared" si="120"/>
        <v>#DIV/0!</v>
      </c>
      <c r="AD357" s="15" t="e">
        <f t="shared" si="112"/>
        <v>#DIV/0!</v>
      </c>
      <c r="AE357" s="15" t="e">
        <f t="shared" si="113"/>
        <v>#DIV/0!</v>
      </c>
      <c r="AF357" s="15" t="e">
        <f t="shared" si="114"/>
        <v>#DIV/0!</v>
      </c>
      <c r="AG357" s="15" t="e">
        <f t="shared" si="115"/>
        <v>#DIV/0!</v>
      </c>
      <c r="AH357" s="53" t="e">
        <f t="shared" si="116"/>
        <v>#DIV/0!</v>
      </c>
      <c r="AI357" s="102" t="e">
        <f t="shared" si="121"/>
        <v>#DIV/0!</v>
      </c>
      <c r="AJ357" s="15"/>
      <c r="AK357" s="15" t="e">
        <f t="shared" si="105"/>
        <v>#DIV/0!</v>
      </c>
      <c r="AL357" s="15" t="e">
        <f t="shared" si="106"/>
        <v>#DIV/0!</v>
      </c>
      <c r="AM357" s="15">
        <f t="shared" si="122"/>
        <v>0</v>
      </c>
      <c r="AN357" s="15" t="e">
        <f t="shared" si="123"/>
        <v>#DIV/0!</v>
      </c>
    </row>
    <row r="358" spans="18:40" ht="13.8" x14ac:dyDescent="0.3">
      <c r="R358" s="51">
        <v>173</v>
      </c>
      <c r="S358" s="38">
        <f t="shared" si="117"/>
        <v>346</v>
      </c>
      <c r="T358" s="52">
        <f t="shared" si="107"/>
        <v>6.0388392119003802</v>
      </c>
      <c r="U358" s="52">
        <f t="shared" si="124"/>
        <v>0.12186934340514755</v>
      </c>
      <c r="V358" s="52">
        <f t="shared" si="125"/>
        <v>-0.24192189559966787</v>
      </c>
      <c r="W358" s="52">
        <f t="shared" si="118"/>
        <v>-0.99254615164132198</v>
      </c>
      <c r="X358" s="52">
        <f t="shared" si="119"/>
        <v>0</v>
      </c>
      <c r="Y358" s="15">
        <f t="shared" si="108"/>
        <v>0</v>
      </c>
      <c r="Z358" s="52">
        <f t="shared" si="109"/>
        <v>0</v>
      </c>
      <c r="AA358" s="52">
        <f t="shared" si="110"/>
        <v>0</v>
      </c>
      <c r="AB358" s="15" t="e">
        <f t="shared" si="111"/>
        <v>#DIV/0!</v>
      </c>
      <c r="AC358" s="15" t="e">
        <f t="shared" si="120"/>
        <v>#DIV/0!</v>
      </c>
      <c r="AD358" s="15" t="e">
        <f t="shared" si="112"/>
        <v>#DIV/0!</v>
      </c>
      <c r="AE358" s="15" t="e">
        <f t="shared" si="113"/>
        <v>#DIV/0!</v>
      </c>
      <c r="AF358" s="15" t="e">
        <f t="shared" si="114"/>
        <v>#DIV/0!</v>
      </c>
      <c r="AG358" s="15" t="e">
        <f t="shared" si="115"/>
        <v>#DIV/0!</v>
      </c>
      <c r="AH358" s="53" t="e">
        <f t="shared" si="116"/>
        <v>#DIV/0!</v>
      </c>
      <c r="AI358" s="102" t="e">
        <f t="shared" si="121"/>
        <v>#DIV/0!</v>
      </c>
      <c r="AJ358" s="15"/>
      <c r="AK358" s="15" t="e">
        <f t="shared" ref="AK358:AK372" si="126">AH358</f>
        <v>#DIV/0!</v>
      </c>
      <c r="AL358" s="15" t="e">
        <f t="shared" ref="AL358:AL372" si="127">AB358</f>
        <v>#DIV/0!</v>
      </c>
      <c r="AM358" s="15">
        <f t="shared" si="122"/>
        <v>0</v>
      </c>
      <c r="AN358" s="15" t="e">
        <f t="shared" si="123"/>
        <v>#DIV/0!</v>
      </c>
    </row>
    <row r="359" spans="18:40" ht="13.8" x14ac:dyDescent="0.3">
      <c r="R359" s="51">
        <v>173.5</v>
      </c>
      <c r="S359" s="38">
        <f t="shared" si="117"/>
        <v>347</v>
      </c>
      <c r="T359" s="52">
        <f t="shared" si="107"/>
        <v>6.0562925044203233</v>
      </c>
      <c r="U359" s="52">
        <f t="shared" si="124"/>
        <v>0.11320321376790689</v>
      </c>
      <c r="V359" s="52">
        <f t="shared" si="125"/>
        <v>-0.22495105434386534</v>
      </c>
      <c r="W359" s="52">
        <f t="shared" si="118"/>
        <v>-0.99357185567658746</v>
      </c>
      <c r="X359" s="52">
        <f t="shared" si="119"/>
        <v>0</v>
      </c>
      <c r="Y359" s="15">
        <f t="shared" si="108"/>
        <v>0</v>
      </c>
      <c r="Z359" s="52">
        <f t="shared" si="109"/>
        <v>0</v>
      </c>
      <c r="AA359" s="52">
        <f t="shared" si="110"/>
        <v>0</v>
      </c>
      <c r="AB359" s="15" t="e">
        <f t="shared" si="111"/>
        <v>#DIV/0!</v>
      </c>
      <c r="AC359" s="15" t="e">
        <f t="shared" si="120"/>
        <v>#DIV/0!</v>
      </c>
      <c r="AD359" s="15" t="e">
        <f t="shared" si="112"/>
        <v>#DIV/0!</v>
      </c>
      <c r="AE359" s="15" t="e">
        <f t="shared" si="113"/>
        <v>#DIV/0!</v>
      </c>
      <c r="AF359" s="15" t="e">
        <f t="shared" si="114"/>
        <v>#DIV/0!</v>
      </c>
      <c r="AG359" s="15" t="e">
        <f t="shared" si="115"/>
        <v>#DIV/0!</v>
      </c>
      <c r="AH359" s="53" t="e">
        <f t="shared" si="116"/>
        <v>#DIV/0!</v>
      </c>
      <c r="AI359" s="102" t="e">
        <f t="shared" si="121"/>
        <v>#DIV/0!</v>
      </c>
      <c r="AJ359" s="15"/>
      <c r="AK359" s="15" t="e">
        <f t="shared" si="126"/>
        <v>#DIV/0!</v>
      </c>
      <c r="AL359" s="15" t="e">
        <f t="shared" si="127"/>
        <v>#DIV/0!</v>
      </c>
      <c r="AM359" s="15">
        <f t="shared" si="122"/>
        <v>0</v>
      </c>
      <c r="AN359" s="15" t="e">
        <f t="shared" si="123"/>
        <v>#DIV/0!</v>
      </c>
    </row>
    <row r="360" spans="18:40" ht="13.8" x14ac:dyDescent="0.3">
      <c r="R360" s="51">
        <v>174</v>
      </c>
      <c r="S360" s="38">
        <f t="shared" si="117"/>
        <v>348</v>
      </c>
      <c r="T360" s="52">
        <f t="shared" si="107"/>
        <v>6.0737457969402664</v>
      </c>
      <c r="U360" s="52">
        <f t="shared" si="124"/>
        <v>0.10452846326765373</v>
      </c>
      <c r="V360" s="52">
        <f t="shared" si="125"/>
        <v>-0.20791169081775987</v>
      </c>
      <c r="W360" s="52">
        <f t="shared" si="118"/>
        <v>-0.99452189536827329</v>
      </c>
      <c r="X360" s="52">
        <f t="shared" si="119"/>
        <v>0</v>
      </c>
      <c r="Y360" s="15">
        <f t="shared" si="108"/>
        <v>0</v>
      </c>
      <c r="Z360" s="52">
        <f t="shared" si="109"/>
        <v>0</v>
      </c>
      <c r="AA360" s="52">
        <f t="shared" si="110"/>
        <v>0</v>
      </c>
      <c r="AB360" s="15" t="e">
        <f t="shared" si="111"/>
        <v>#DIV/0!</v>
      </c>
      <c r="AC360" s="15" t="e">
        <f t="shared" si="120"/>
        <v>#DIV/0!</v>
      </c>
      <c r="AD360" s="15" t="e">
        <f t="shared" si="112"/>
        <v>#DIV/0!</v>
      </c>
      <c r="AE360" s="15" t="e">
        <f t="shared" si="113"/>
        <v>#DIV/0!</v>
      </c>
      <c r="AF360" s="15" t="e">
        <f t="shared" si="114"/>
        <v>#DIV/0!</v>
      </c>
      <c r="AG360" s="15" t="e">
        <f t="shared" si="115"/>
        <v>#DIV/0!</v>
      </c>
      <c r="AH360" s="53" t="e">
        <f t="shared" si="116"/>
        <v>#DIV/0!</v>
      </c>
      <c r="AI360" s="102" t="e">
        <f t="shared" si="121"/>
        <v>#DIV/0!</v>
      </c>
      <c r="AJ360" s="15"/>
      <c r="AK360" s="15" t="e">
        <f t="shared" si="126"/>
        <v>#DIV/0!</v>
      </c>
      <c r="AL360" s="15" t="e">
        <f t="shared" si="127"/>
        <v>#DIV/0!</v>
      </c>
      <c r="AM360" s="15">
        <f t="shared" si="122"/>
        <v>0</v>
      </c>
      <c r="AN360" s="15" t="e">
        <f t="shared" si="123"/>
        <v>#DIV/0!</v>
      </c>
    </row>
    <row r="361" spans="18:40" ht="13.8" x14ac:dyDescent="0.3">
      <c r="R361" s="51">
        <v>174.5</v>
      </c>
      <c r="S361" s="38">
        <f t="shared" si="117"/>
        <v>349</v>
      </c>
      <c r="T361" s="52">
        <f t="shared" si="107"/>
        <v>6.0911990894602104</v>
      </c>
      <c r="U361" s="52">
        <f t="shared" si="124"/>
        <v>9.5845752520223912E-2</v>
      </c>
      <c r="V361" s="52">
        <f t="shared" si="125"/>
        <v>-0.19080899537654467</v>
      </c>
      <c r="W361" s="52">
        <f t="shared" si="118"/>
        <v>-0.99539619836717885</v>
      </c>
      <c r="X361" s="52">
        <f t="shared" si="119"/>
        <v>0</v>
      </c>
      <c r="Y361" s="15">
        <f t="shared" si="108"/>
        <v>0</v>
      </c>
      <c r="Z361" s="52">
        <f t="shared" si="109"/>
        <v>0</v>
      </c>
      <c r="AA361" s="52">
        <f t="shared" si="110"/>
        <v>0</v>
      </c>
      <c r="AB361" s="15" t="e">
        <f t="shared" si="111"/>
        <v>#DIV/0!</v>
      </c>
      <c r="AC361" s="15" t="e">
        <f t="shared" si="120"/>
        <v>#DIV/0!</v>
      </c>
      <c r="AD361" s="15" t="e">
        <f t="shared" si="112"/>
        <v>#DIV/0!</v>
      </c>
      <c r="AE361" s="15" t="e">
        <f t="shared" si="113"/>
        <v>#DIV/0!</v>
      </c>
      <c r="AF361" s="15" t="e">
        <f t="shared" si="114"/>
        <v>#DIV/0!</v>
      </c>
      <c r="AG361" s="15" t="e">
        <f t="shared" si="115"/>
        <v>#DIV/0!</v>
      </c>
      <c r="AH361" s="53" t="e">
        <f t="shared" si="116"/>
        <v>#DIV/0!</v>
      </c>
      <c r="AI361" s="102" t="e">
        <f t="shared" si="121"/>
        <v>#DIV/0!</v>
      </c>
      <c r="AJ361" s="15"/>
      <c r="AK361" s="15" t="e">
        <f t="shared" si="126"/>
        <v>#DIV/0!</v>
      </c>
      <c r="AL361" s="15" t="e">
        <f t="shared" si="127"/>
        <v>#DIV/0!</v>
      </c>
      <c r="AM361" s="15">
        <f t="shared" si="122"/>
        <v>0</v>
      </c>
      <c r="AN361" s="15" t="e">
        <f t="shared" si="123"/>
        <v>#DIV/0!</v>
      </c>
    </row>
    <row r="362" spans="18:40" ht="13.8" x14ac:dyDescent="0.3">
      <c r="R362" s="51">
        <v>175</v>
      </c>
      <c r="S362" s="38">
        <f t="shared" si="117"/>
        <v>350</v>
      </c>
      <c r="T362" s="52">
        <f t="shared" si="107"/>
        <v>6.1086523819801535</v>
      </c>
      <c r="U362" s="52">
        <f t="shared" si="124"/>
        <v>8.7155742747658194E-2</v>
      </c>
      <c r="V362" s="52">
        <f t="shared" si="125"/>
        <v>-0.17364817766693039</v>
      </c>
      <c r="W362" s="52">
        <f t="shared" si="118"/>
        <v>-0.99619469809174555</v>
      </c>
      <c r="X362" s="52">
        <f t="shared" si="119"/>
        <v>0</v>
      </c>
      <c r="Y362" s="15">
        <f t="shared" si="108"/>
        <v>0</v>
      </c>
      <c r="Z362" s="52">
        <f t="shared" si="109"/>
        <v>0</v>
      </c>
      <c r="AA362" s="52">
        <f t="shared" si="110"/>
        <v>0</v>
      </c>
      <c r="AB362" s="15" t="e">
        <f t="shared" si="111"/>
        <v>#DIV/0!</v>
      </c>
      <c r="AC362" s="15" t="e">
        <f t="shared" si="120"/>
        <v>#DIV/0!</v>
      </c>
      <c r="AD362" s="15" t="e">
        <f t="shared" si="112"/>
        <v>#DIV/0!</v>
      </c>
      <c r="AE362" s="15" t="e">
        <f t="shared" si="113"/>
        <v>#DIV/0!</v>
      </c>
      <c r="AF362" s="15" t="e">
        <f t="shared" si="114"/>
        <v>#DIV/0!</v>
      </c>
      <c r="AG362" s="15" t="e">
        <f t="shared" si="115"/>
        <v>#DIV/0!</v>
      </c>
      <c r="AH362" s="53" t="e">
        <f t="shared" si="116"/>
        <v>#DIV/0!</v>
      </c>
      <c r="AI362" s="102" t="e">
        <f t="shared" si="121"/>
        <v>#DIV/0!</v>
      </c>
      <c r="AJ362" s="15"/>
      <c r="AK362" s="15" t="e">
        <f t="shared" si="126"/>
        <v>#DIV/0!</v>
      </c>
      <c r="AL362" s="15" t="e">
        <f t="shared" si="127"/>
        <v>#DIV/0!</v>
      </c>
      <c r="AM362" s="15">
        <f t="shared" si="122"/>
        <v>0</v>
      </c>
      <c r="AN362" s="15" t="e">
        <f t="shared" si="123"/>
        <v>#DIV/0!</v>
      </c>
    </row>
    <row r="363" spans="18:40" ht="13.8" x14ac:dyDescent="0.3">
      <c r="R363" s="51">
        <v>175.5</v>
      </c>
      <c r="S363" s="38">
        <f t="shared" si="117"/>
        <v>351</v>
      </c>
      <c r="T363" s="52">
        <f t="shared" si="107"/>
        <v>6.1261056745000966</v>
      </c>
      <c r="U363" s="52">
        <f t="shared" si="124"/>
        <v>7.8459095727845068E-2</v>
      </c>
      <c r="V363" s="52">
        <f t="shared" si="125"/>
        <v>-0.15643446504023112</v>
      </c>
      <c r="W363" s="52">
        <f t="shared" si="118"/>
        <v>-0.99691733373312796</v>
      </c>
      <c r="X363" s="52">
        <f t="shared" si="119"/>
        <v>0</v>
      </c>
      <c r="Y363" s="15">
        <f t="shared" si="108"/>
        <v>0</v>
      </c>
      <c r="Z363" s="52">
        <f t="shared" si="109"/>
        <v>0</v>
      </c>
      <c r="AA363" s="52">
        <f t="shared" si="110"/>
        <v>0</v>
      </c>
      <c r="AB363" s="15" t="e">
        <f t="shared" si="111"/>
        <v>#DIV/0!</v>
      </c>
      <c r="AC363" s="15" t="e">
        <f t="shared" si="120"/>
        <v>#DIV/0!</v>
      </c>
      <c r="AD363" s="15" t="e">
        <f t="shared" si="112"/>
        <v>#DIV/0!</v>
      </c>
      <c r="AE363" s="15" t="e">
        <f t="shared" si="113"/>
        <v>#DIV/0!</v>
      </c>
      <c r="AF363" s="15" t="e">
        <f t="shared" si="114"/>
        <v>#DIV/0!</v>
      </c>
      <c r="AG363" s="15" t="e">
        <f t="shared" si="115"/>
        <v>#DIV/0!</v>
      </c>
      <c r="AH363" s="53" t="e">
        <f t="shared" si="116"/>
        <v>#DIV/0!</v>
      </c>
      <c r="AI363" s="102" t="e">
        <f t="shared" si="121"/>
        <v>#DIV/0!</v>
      </c>
      <c r="AJ363" s="15"/>
      <c r="AK363" s="15" t="e">
        <f t="shared" si="126"/>
        <v>#DIV/0!</v>
      </c>
      <c r="AL363" s="15" t="e">
        <f t="shared" si="127"/>
        <v>#DIV/0!</v>
      </c>
      <c r="AM363" s="15">
        <f t="shared" si="122"/>
        <v>0</v>
      </c>
      <c r="AN363" s="15" t="e">
        <f t="shared" si="123"/>
        <v>#DIV/0!</v>
      </c>
    </row>
    <row r="364" spans="18:40" ht="13.8" x14ac:dyDescent="0.3">
      <c r="R364" s="51">
        <v>176</v>
      </c>
      <c r="S364" s="38">
        <f t="shared" si="117"/>
        <v>352</v>
      </c>
      <c r="T364" s="52">
        <f t="shared" si="107"/>
        <v>6.1435589670200397</v>
      </c>
      <c r="U364" s="52">
        <f t="shared" si="124"/>
        <v>6.9756473744125524E-2</v>
      </c>
      <c r="V364" s="52">
        <f t="shared" si="125"/>
        <v>-0.13917310096006588</v>
      </c>
      <c r="W364" s="52">
        <f t="shared" si="118"/>
        <v>-0.9975640502598242</v>
      </c>
      <c r="X364" s="52">
        <f t="shared" si="119"/>
        <v>0</v>
      </c>
      <c r="Y364" s="15">
        <f t="shared" si="108"/>
        <v>0</v>
      </c>
      <c r="Z364" s="52">
        <f t="shared" si="109"/>
        <v>0</v>
      </c>
      <c r="AA364" s="52">
        <f t="shared" si="110"/>
        <v>0</v>
      </c>
      <c r="AB364" s="15" t="e">
        <f t="shared" si="111"/>
        <v>#DIV/0!</v>
      </c>
      <c r="AC364" s="15" t="e">
        <f t="shared" si="120"/>
        <v>#DIV/0!</v>
      </c>
      <c r="AD364" s="15" t="e">
        <f t="shared" si="112"/>
        <v>#DIV/0!</v>
      </c>
      <c r="AE364" s="15" t="e">
        <f t="shared" si="113"/>
        <v>#DIV/0!</v>
      </c>
      <c r="AF364" s="15" t="e">
        <f t="shared" si="114"/>
        <v>#DIV/0!</v>
      </c>
      <c r="AG364" s="15" t="e">
        <f t="shared" si="115"/>
        <v>#DIV/0!</v>
      </c>
      <c r="AH364" s="53" t="e">
        <f t="shared" si="116"/>
        <v>#DIV/0!</v>
      </c>
      <c r="AI364" s="102" t="e">
        <f t="shared" si="121"/>
        <v>#DIV/0!</v>
      </c>
      <c r="AJ364" s="15"/>
      <c r="AK364" s="15" t="e">
        <f t="shared" si="126"/>
        <v>#DIV/0!</v>
      </c>
      <c r="AL364" s="15" t="e">
        <f t="shared" si="127"/>
        <v>#DIV/0!</v>
      </c>
      <c r="AM364" s="15">
        <f t="shared" si="122"/>
        <v>0</v>
      </c>
      <c r="AN364" s="15" t="e">
        <f t="shared" si="123"/>
        <v>#DIV/0!</v>
      </c>
    </row>
    <row r="365" spans="18:40" ht="13.8" x14ac:dyDescent="0.3">
      <c r="R365" s="51">
        <v>176.5</v>
      </c>
      <c r="S365" s="38">
        <f t="shared" si="117"/>
        <v>353</v>
      </c>
      <c r="T365" s="52">
        <f t="shared" si="107"/>
        <v>6.1610122595399837</v>
      </c>
      <c r="U365" s="52">
        <f t="shared" si="124"/>
        <v>6.1048539534856748E-2</v>
      </c>
      <c r="V365" s="52">
        <f t="shared" si="125"/>
        <v>-0.12186934340514723</v>
      </c>
      <c r="W365" s="52">
        <f t="shared" si="118"/>
        <v>-0.99813479842186703</v>
      </c>
      <c r="X365" s="52">
        <f t="shared" si="119"/>
        <v>0</v>
      </c>
      <c r="Y365" s="15">
        <f t="shared" si="108"/>
        <v>0</v>
      </c>
      <c r="Z365" s="52">
        <f t="shared" si="109"/>
        <v>0</v>
      </c>
      <c r="AA365" s="52">
        <f t="shared" si="110"/>
        <v>0</v>
      </c>
      <c r="AB365" s="15" t="e">
        <f t="shared" si="111"/>
        <v>#DIV/0!</v>
      </c>
      <c r="AC365" s="15" t="e">
        <f t="shared" si="120"/>
        <v>#DIV/0!</v>
      </c>
      <c r="AD365" s="15" t="e">
        <f t="shared" si="112"/>
        <v>#DIV/0!</v>
      </c>
      <c r="AE365" s="15" t="e">
        <f t="shared" si="113"/>
        <v>#DIV/0!</v>
      </c>
      <c r="AF365" s="15" t="e">
        <f t="shared" si="114"/>
        <v>#DIV/0!</v>
      </c>
      <c r="AG365" s="15" t="e">
        <f t="shared" si="115"/>
        <v>#DIV/0!</v>
      </c>
      <c r="AH365" s="53" t="e">
        <f t="shared" si="116"/>
        <v>#DIV/0!</v>
      </c>
      <c r="AI365" s="102" t="e">
        <f t="shared" si="121"/>
        <v>#DIV/0!</v>
      </c>
      <c r="AJ365" s="15"/>
      <c r="AK365" s="15" t="e">
        <f t="shared" si="126"/>
        <v>#DIV/0!</v>
      </c>
      <c r="AL365" s="15" t="e">
        <f t="shared" si="127"/>
        <v>#DIV/0!</v>
      </c>
      <c r="AM365" s="15">
        <f t="shared" si="122"/>
        <v>0</v>
      </c>
      <c r="AN365" s="15" t="e">
        <f t="shared" si="123"/>
        <v>#DIV/0!</v>
      </c>
    </row>
    <row r="366" spans="18:40" ht="13.8" x14ac:dyDescent="0.3">
      <c r="R366" s="51">
        <v>177</v>
      </c>
      <c r="S366" s="38">
        <f t="shared" si="117"/>
        <v>354</v>
      </c>
      <c r="T366" s="52">
        <f t="shared" si="107"/>
        <v>6.1784655520599268</v>
      </c>
      <c r="U366" s="52">
        <f t="shared" si="124"/>
        <v>5.2335956242943807E-2</v>
      </c>
      <c r="V366" s="52">
        <f t="shared" si="125"/>
        <v>-0.10452846326765342</v>
      </c>
      <c r="W366" s="52">
        <f t="shared" si="118"/>
        <v>-0.99862953475457383</v>
      </c>
      <c r="X366" s="52">
        <f t="shared" si="119"/>
        <v>0</v>
      </c>
      <c r="Y366" s="15">
        <f t="shared" si="108"/>
        <v>0</v>
      </c>
      <c r="Z366" s="52">
        <f t="shared" si="109"/>
        <v>0</v>
      </c>
      <c r="AA366" s="52">
        <f t="shared" si="110"/>
        <v>0</v>
      </c>
      <c r="AB366" s="15" t="e">
        <f t="shared" si="111"/>
        <v>#DIV/0!</v>
      </c>
      <c r="AC366" s="15" t="e">
        <f t="shared" si="120"/>
        <v>#DIV/0!</v>
      </c>
      <c r="AD366" s="15" t="e">
        <f t="shared" si="112"/>
        <v>#DIV/0!</v>
      </c>
      <c r="AE366" s="15" t="e">
        <f t="shared" si="113"/>
        <v>#DIV/0!</v>
      </c>
      <c r="AF366" s="15" t="e">
        <f t="shared" si="114"/>
        <v>#DIV/0!</v>
      </c>
      <c r="AG366" s="15" t="e">
        <f t="shared" si="115"/>
        <v>#DIV/0!</v>
      </c>
      <c r="AH366" s="53" t="e">
        <f t="shared" si="116"/>
        <v>#DIV/0!</v>
      </c>
      <c r="AI366" s="102" t="e">
        <f t="shared" si="121"/>
        <v>#DIV/0!</v>
      </c>
      <c r="AJ366" s="15"/>
      <c r="AK366" s="15" t="e">
        <f t="shared" si="126"/>
        <v>#DIV/0!</v>
      </c>
      <c r="AL366" s="15" t="e">
        <f t="shared" si="127"/>
        <v>#DIV/0!</v>
      </c>
      <c r="AM366" s="15">
        <f t="shared" si="122"/>
        <v>0</v>
      </c>
      <c r="AN366" s="15" t="e">
        <f t="shared" si="123"/>
        <v>#DIV/0!</v>
      </c>
    </row>
    <row r="367" spans="18:40" ht="13.8" x14ac:dyDescent="0.3">
      <c r="R367" s="51">
        <v>177.5</v>
      </c>
      <c r="S367" s="38">
        <f t="shared" si="117"/>
        <v>355</v>
      </c>
      <c r="T367" s="52">
        <f t="shared" si="107"/>
        <v>6.1959188445798699</v>
      </c>
      <c r="U367" s="52">
        <f t="shared" si="124"/>
        <v>4.3619387365336069E-2</v>
      </c>
      <c r="V367" s="52">
        <f t="shared" si="125"/>
        <v>-8.7155742747658319E-2</v>
      </c>
      <c r="W367" s="52">
        <f t="shared" si="118"/>
        <v>-0.9990482215818578</v>
      </c>
      <c r="X367" s="52">
        <f t="shared" si="119"/>
        <v>0</v>
      </c>
      <c r="Y367" s="15">
        <f t="shared" si="108"/>
        <v>0</v>
      </c>
      <c r="Z367" s="52">
        <f t="shared" si="109"/>
        <v>0</v>
      </c>
      <c r="AA367" s="52">
        <f t="shared" si="110"/>
        <v>0</v>
      </c>
      <c r="AB367" s="15" t="e">
        <f t="shared" si="111"/>
        <v>#DIV/0!</v>
      </c>
      <c r="AC367" s="15" t="e">
        <f t="shared" si="120"/>
        <v>#DIV/0!</v>
      </c>
      <c r="AD367" s="15" t="e">
        <f t="shared" si="112"/>
        <v>#DIV/0!</v>
      </c>
      <c r="AE367" s="15" t="e">
        <f t="shared" si="113"/>
        <v>#DIV/0!</v>
      </c>
      <c r="AF367" s="15" t="e">
        <f t="shared" si="114"/>
        <v>#DIV/0!</v>
      </c>
      <c r="AG367" s="15" t="e">
        <f t="shared" si="115"/>
        <v>#DIV/0!</v>
      </c>
      <c r="AH367" s="53" t="e">
        <f t="shared" si="116"/>
        <v>#DIV/0!</v>
      </c>
      <c r="AI367" s="102" t="e">
        <f t="shared" si="121"/>
        <v>#DIV/0!</v>
      </c>
      <c r="AJ367" s="15"/>
      <c r="AK367" s="15" t="e">
        <f t="shared" si="126"/>
        <v>#DIV/0!</v>
      </c>
      <c r="AL367" s="15" t="e">
        <f t="shared" si="127"/>
        <v>#DIV/0!</v>
      </c>
      <c r="AM367" s="15">
        <f t="shared" si="122"/>
        <v>0</v>
      </c>
      <c r="AN367" s="15" t="e">
        <f t="shared" si="123"/>
        <v>#DIV/0!</v>
      </c>
    </row>
    <row r="368" spans="18:40" ht="13.8" x14ac:dyDescent="0.3">
      <c r="R368" s="51">
        <v>178</v>
      </c>
      <c r="S368" s="38">
        <f t="shared" si="117"/>
        <v>356</v>
      </c>
      <c r="T368" s="52">
        <f t="shared" si="107"/>
        <v>6.213372137099813</v>
      </c>
      <c r="U368" s="52">
        <f t="shared" si="124"/>
        <v>3.4899496702501143E-2</v>
      </c>
      <c r="V368" s="52">
        <f t="shared" si="125"/>
        <v>-6.9756473744125636E-2</v>
      </c>
      <c r="W368" s="52">
        <f t="shared" si="118"/>
        <v>-0.99939082701909576</v>
      </c>
      <c r="X368" s="52">
        <f t="shared" si="119"/>
        <v>0</v>
      </c>
      <c r="Y368" s="15">
        <f t="shared" si="108"/>
        <v>0</v>
      </c>
      <c r="Z368" s="52">
        <f t="shared" si="109"/>
        <v>0</v>
      </c>
      <c r="AA368" s="52">
        <f t="shared" si="110"/>
        <v>0</v>
      </c>
      <c r="AB368" s="15" t="e">
        <f t="shared" si="111"/>
        <v>#DIV/0!</v>
      </c>
      <c r="AC368" s="15" t="e">
        <f t="shared" si="120"/>
        <v>#DIV/0!</v>
      </c>
      <c r="AD368" s="15" t="e">
        <f t="shared" si="112"/>
        <v>#DIV/0!</v>
      </c>
      <c r="AE368" s="15" t="e">
        <f t="shared" si="113"/>
        <v>#DIV/0!</v>
      </c>
      <c r="AF368" s="15" t="e">
        <f t="shared" si="114"/>
        <v>#DIV/0!</v>
      </c>
      <c r="AG368" s="15" t="e">
        <f t="shared" si="115"/>
        <v>#DIV/0!</v>
      </c>
      <c r="AH368" s="53" t="e">
        <f t="shared" si="116"/>
        <v>#DIV/0!</v>
      </c>
      <c r="AI368" s="102" t="e">
        <f t="shared" si="121"/>
        <v>#DIV/0!</v>
      </c>
      <c r="AJ368" s="15"/>
      <c r="AK368" s="15" t="e">
        <f t="shared" si="126"/>
        <v>#DIV/0!</v>
      </c>
      <c r="AL368" s="15" t="e">
        <f t="shared" si="127"/>
        <v>#DIV/0!</v>
      </c>
      <c r="AM368" s="15">
        <f t="shared" si="122"/>
        <v>0</v>
      </c>
      <c r="AN368" s="15" t="e">
        <f t="shared" si="123"/>
        <v>#DIV/0!</v>
      </c>
    </row>
    <row r="369" spans="18:40" ht="13.8" x14ac:dyDescent="0.3">
      <c r="R369" s="51">
        <v>178.5</v>
      </c>
      <c r="S369" s="38">
        <f t="shared" si="117"/>
        <v>357</v>
      </c>
      <c r="T369" s="52">
        <f t="shared" si="107"/>
        <v>6.2308254296197561</v>
      </c>
      <c r="U369" s="52">
        <f t="shared" si="124"/>
        <v>2.6176948307873423E-2</v>
      </c>
      <c r="V369" s="52">
        <f t="shared" si="125"/>
        <v>-5.2335956242944369E-2</v>
      </c>
      <c r="W369" s="52">
        <f t="shared" si="118"/>
        <v>-0.99965732497555726</v>
      </c>
      <c r="X369" s="52">
        <f t="shared" si="119"/>
        <v>0</v>
      </c>
      <c r="Y369" s="15">
        <f t="shared" si="108"/>
        <v>0</v>
      </c>
      <c r="Z369" s="52">
        <f t="shared" si="109"/>
        <v>0</v>
      </c>
      <c r="AA369" s="52">
        <f t="shared" si="110"/>
        <v>0</v>
      </c>
      <c r="AB369" s="15" t="e">
        <f t="shared" si="111"/>
        <v>#DIV/0!</v>
      </c>
      <c r="AC369" s="15" t="e">
        <f t="shared" si="120"/>
        <v>#DIV/0!</v>
      </c>
      <c r="AD369" s="15" t="e">
        <f t="shared" si="112"/>
        <v>#DIV/0!</v>
      </c>
      <c r="AE369" s="15" t="e">
        <f t="shared" si="113"/>
        <v>#DIV/0!</v>
      </c>
      <c r="AF369" s="15" t="e">
        <f t="shared" si="114"/>
        <v>#DIV/0!</v>
      </c>
      <c r="AG369" s="15" t="e">
        <f t="shared" si="115"/>
        <v>#DIV/0!</v>
      </c>
      <c r="AH369" s="53" t="e">
        <f t="shared" si="116"/>
        <v>#DIV/0!</v>
      </c>
      <c r="AI369" s="102" t="e">
        <f t="shared" si="121"/>
        <v>#DIV/0!</v>
      </c>
      <c r="AJ369" s="15"/>
      <c r="AK369" s="15" t="e">
        <f t="shared" si="126"/>
        <v>#DIV/0!</v>
      </c>
      <c r="AL369" s="15" t="e">
        <f t="shared" si="127"/>
        <v>#DIV/0!</v>
      </c>
      <c r="AM369" s="15">
        <f t="shared" si="122"/>
        <v>0</v>
      </c>
      <c r="AN369" s="15" t="e">
        <f t="shared" si="123"/>
        <v>#DIV/0!</v>
      </c>
    </row>
    <row r="370" spans="18:40" ht="13.8" x14ac:dyDescent="0.3">
      <c r="R370" s="51">
        <v>179</v>
      </c>
      <c r="S370" s="38">
        <f t="shared" si="117"/>
        <v>358</v>
      </c>
      <c r="T370" s="52">
        <f t="shared" si="107"/>
        <v>6.2482787221397</v>
      </c>
      <c r="U370" s="52">
        <f t="shared" si="124"/>
        <v>1.7452406437283439E-2</v>
      </c>
      <c r="V370" s="52">
        <f t="shared" si="125"/>
        <v>-3.4899496702500823E-2</v>
      </c>
      <c r="W370" s="52">
        <f t="shared" si="118"/>
        <v>-0.99984769515639127</v>
      </c>
      <c r="X370" s="52">
        <f t="shared" si="119"/>
        <v>0</v>
      </c>
      <c r="Y370" s="15">
        <f t="shared" si="108"/>
        <v>0</v>
      </c>
      <c r="Z370" s="52">
        <f t="shared" si="109"/>
        <v>0</v>
      </c>
      <c r="AA370" s="52">
        <f t="shared" si="110"/>
        <v>0</v>
      </c>
      <c r="AB370" s="15" t="e">
        <f t="shared" si="111"/>
        <v>#DIV/0!</v>
      </c>
      <c r="AC370" s="15" t="e">
        <f t="shared" si="120"/>
        <v>#DIV/0!</v>
      </c>
      <c r="AD370" s="15" t="e">
        <f t="shared" si="112"/>
        <v>#DIV/0!</v>
      </c>
      <c r="AE370" s="15" t="e">
        <f t="shared" si="113"/>
        <v>#DIV/0!</v>
      </c>
      <c r="AF370" s="15" t="e">
        <f t="shared" si="114"/>
        <v>#DIV/0!</v>
      </c>
      <c r="AG370" s="15" t="e">
        <f t="shared" si="115"/>
        <v>#DIV/0!</v>
      </c>
      <c r="AH370" s="53" t="e">
        <f t="shared" si="116"/>
        <v>#DIV/0!</v>
      </c>
      <c r="AI370" s="102" t="e">
        <f t="shared" si="121"/>
        <v>#DIV/0!</v>
      </c>
      <c r="AJ370" s="15"/>
      <c r="AK370" s="15" t="e">
        <f t="shared" si="126"/>
        <v>#DIV/0!</v>
      </c>
      <c r="AL370" s="15" t="e">
        <f t="shared" si="127"/>
        <v>#DIV/0!</v>
      </c>
      <c r="AM370" s="15">
        <f t="shared" si="122"/>
        <v>0</v>
      </c>
      <c r="AN370" s="15" t="e">
        <f t="shared" si="123"/>
        <v>#DIV/0!</v>
      </c>
    </row>
    <row r="371" spans="18:40" ht="13.8" x14ac:dyDescent="0.3">
      <c r="R371" s="51">
        <v>179.5</v>
      </c>
      <c r="S371" s="38">
        <f t="shared" si="117"/>
        <v>359</v>
      </c>
      <c r="T371" s="52">
        <f t="shared" si="107"/>
        <v>6.2657320146596431</v>
      </c>
      <c r="U371" s="52">
        <f t="shared" si="124"/>
        <v>8.726535498373959E-3</v>
      </c>
      <c r="V371" s="52">
        <f t="shared" si="125"/>
        <v>-1.745240643728356E-2</v>
      </c>
      <c r="W371" s="52">
        <f t="shared" si="118"/>
        <v>-0.99996192306417131</v>
      </c>
      <c r="X371" s="52">
        <f t="shared" si="119"/>
        <v>0</v>
      </c>
      <c r="Y371" s="15">
        <f t="shared" si="108"/>
        <v>0</v>
      </c>
      <c r="Z371" s="52">
        <f t="shared" si="109"/>
        <v>0</v>
      </c>
      <c r="AA371" s="52">
        <f t="shared" si="110"/>
        <v>0</v>
      </c>
      <c r="AB371" s="15" t="e">
        <f t="shared" si="111"/>
        <v>#DIV/0!</v>
      </c>
      <c r="AC371" s="15" t="e">
        <f t="shared" si="120"/>
        <v>#DIV/0!</v>
      </c>
      <c r="AD371" s="15" t="e">
        <f t="shared" si="112"/>
        <v>#DIV/0!</v>
      </c>
      <c r="AE371" s="15" t="e">
        <f t="shared" si="113"/>
        <v>#DIV/0!</v>
      </c>
      <c r="AF371" s="15" t="e">
        <f t="shared" si="114"/>
        <v>#DIV/0!</v>
      </c>
      <c r="AG371" s="15" t="e">
        <f t="shared" si="115"/>
        <v>#DIV/0!</v>
      </c>
      <c r="AH371" s="53" t="e">
        <f t="shared" si="116"/>
        <v>#DIV/0!</v>
      </c>
      <c r="AI371" s="102" t="e">
        <f t="shared" si="121"/>
        <v>#DIV/0!</v>
      </c>
      <c r="AJ371" s="15"/>
      <c r="AK371" s="15" t="e">
        <f t="shared" si="126"/>
        <v>#DIV/0!</v>
      </c>
      <c r="AL371" s="15" t="e">
        <f t="shared" si="127"/>
        <v>#DIV/0!</v>
      </c>
      <c r="AM371" s="15">
        <f t="shared" si="122"/>
        <v>0</v>
      </c>
      <c r="AN371" s="15" t="e">
        <f t="shared" si="123"/>
        <v>#DIV/0!</v>
      </c>
    </row>
    <row r="372" spans="18:40" ht="13.8" x14ac:dyDescent="0.3">
      <c r="R372" s="67">
        <v>180</v>
      </c>
      <c r="S372" s="40">
        <f t="shared" si="117"/>
        <v>360</v>
      </c>
      <c r="T372" s="68">
        <f t="shared" si="107"/>
        <v>6.2831853071795862</v>
      </c>
      <c r="U372" s="68">
        <f t="shared" si="124"/>
        <v>1.22514845490862E-16</v>
      </c>
      <c r="V372" s="68">
        <f t="shared" si="125"/>
        <v>-2.45029690981724E-16</v>
      </c>
      <c r="W372" s="68">
        <f t="shared" si="118"/>
        <v>-1</v>
      </c>
      <c r="X372" s="68">
        <f t="shared" si="119"/>
        <v>0</v>
      </c>
      <c r="Y372" s="69">
        <f t="shared" si="108"/>
        <v>0</v>
      </c>
      <c r="Z372" s="68">
        <f t="shared" si="109"/>
        <v>0</v>
      </c>
      <c r="AA372" s="68">
        <f t="shared" si="110"/>
        <v>0</v>
      </c>
      <c r="AB372" s="69" t="e">
        <f t="shared" si="111"/>
        <v>#DIV/0!</v>
      </c>
      <c r="AC372" s="69" t="e">
        <f t="shared" si="120"/>
        <v>#DIV/0!</v>
      </c>
      <c r="AD372" s="69" t="e">
        <f t="shared" si="112"/>
        <v>#DIV/0!</v>
      </c>
      <c r="AE372" s="69" t="e">
        <f t="shared" si="113"/>
        <v>#DIV/0!</v>
      </c>
      <c r="AF372" s="69" t="e">
        <f t="shared" si="114"/>
        <v>#DIV/0!</v>
      </c>
      <c r="AG372" s="69" t="e">
        <f t="shared" si="115"/>
        <v>#DIV/0!</v>
      </c>
      <c r="AH372" s="70" t="e">
        <f t="shared" si="116"/>
        <v>#DIV/0!</v>
      </c>
      <c r="AI372" s="104" t="e">
        <f t="shared" si="121"/>
        <v>#DIV/0!</v>
      </c>
      <c r="AJ372" s="15"/>
      <c r="AK372" s="15" t="e">
        <f t="shared" si="126"/>
        <v>#DIV/0!</v>
      </c>
      <c r="AL372" s="15" t="e">
        <f t="shared" si="127"/>
        <v>#DIV/0!</v>
      </c>
      <c r="AM372" s="15">
        <f t="shared" si="122"/>
        <v>0</v>
      </c>
      <c r="AN372" s="15" t="e">
        <f t="shared" si="123"/>
        <v>#DIV/0!</v>
      </c>
    </row>
  </sheetData>
  <mergeCells count="8">
    <mergeCell ref="AI2:AI9"/>
    <mergeCell ref="C2:H2"/>
    <mergeCell ref="K2:P2"/>
    <mergeCell ref="R2:AH2"/>
    <mergeCell ref="AD3:AD9"/>
    <mergeCell ref="AE3:AF9"/>
    <mergeCell ref="AG3:AG9"/>
    <mergeCell ref="AH3:AH9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30"/>
  <sheetViews>
    <sheetView zoomScaleNormal="100" workbookViewId="0">
      <selection activeCell="I41" sqref="I41"/>
    </sheetView>
  </sheetViews>
  <sheetFormatPr defaultColWidth="9.109375" defaultRowHeight="13.8" x14ac:dyDescent="0.25"/>
  <cols>
    <col min="1" max="1" width="10.44140625" style="6" customWidth="1"/>
    <col min="2" max="3" width="11.109375" style="38" customWidth="1"/>
    <col min="4" max="4" width="8" style="11" customWidth="1"/>
    <col min="5" max="5" width="11.109375" style="16" customWidth="1"/>
    <col min="6" max="6" width="21.44140625" style="71" customWidth="1"/>
    <col min="7" max="7" width="1.88671875" style="71" customWidth="1"/>
    <col min="8" max="8" width="9.88671875" style="1" customWidth="1"/>
    <col min="9" max="9" width="7.5546875" style="1" customWidth="1"/>
    <col min="10" max="10" width="7.33203125" style="1" customWidth="1"/>
    <col min="11" max="11" width="5.33203125" style="1" customWidth="1"/>
    <col min="12" max="12" width="8.33203125" style="1" customWidth="1"/>
    <col min="13" max="13" width="8.109375" style="75" customWidth="1"/>
    <col min="14" max="14" width="9.109375" style="75"/>
    <col min="15" max="22" width="9.109375" style="1"/>
    <col min="23" max="23" width="9.109375" style="1" customWidth="1"/>
    <col min="24" max="16384" width="9.109375" style="1"/>
  </cols>
  <sheetData>
    <row r="1" spans="1:15" x14ac:dyDescent="0.25">
      <c r="A1" s="16" t="s">
        <v>443</v>
      </c>
    </row>
    <row r="2" spans="1:15" ht="30" x14ac:dyDescent="0.25">
      <c r="A2" s="106" t="s">
        <v>266</v>
      </c>
    </row>
    <row r="3" spans="1:15" ht="15.6" customHeight="1" x14ac:dyDescent="0.25">
      <c r="A3" s="106"/>
    </row>
    <row r="4" spans="1:15" x14ac:dyDescent="0.25">
      <c r="A4" s="242" t="s">
        <v>227</v>
      </c>
      <c r="B4" s="119"/>
      <c r="C4" s="119"/>
      <c r="D4" s="120"/>
      <c r="E4" s="121"/>
      <c r="F4" s="122"/>
      <c r="H4" s="288" t="s">
        <v>163</v>
      </c>
      <c r="I4" s="289"/>
      <c r="J4" s="289"/>
      <c r="K4" s="289"/>
      <c r="L4" s="289"/>
      <c r="M4" s="289"/>
      <c r="N4" s="289"/>
      <c r="O4" s="290"/>
    </row>
    <row r="5" spans="1:15" ht="15.6" x14ac:dyDescent="0.35">
      <c r="A5" s="123" t="s">
        <v>97</v>
      </c>
      <c r="B5" s="107" t="s">
        <v>98</v>
      </c>
      <c r="C5" s="107" t="s">
        <v>98</v>
      </c>
      <c r="D5" s="66" t="s">
        <v>99</v>
      </c>
      <c r="E5" s="124" t="s">
        <v>100</v>
      </c>
      <c r="F5" s="125" t="s">
        <v>241</v>
      </c>
      <c r="H5" s="291" t="s">
        <v>252</v>
      </c>
      <c r="I5" s="292"/>
      <c r="J5" s="292"/>
      <c r="K5" s="292"/>
      <c r="L5" s="292"/>
      <c r="M5" s="292"/>
      <c r="N5" s="292"/>
      <c r="O5" s="293"/>
    </row>
    <row r="6" spans="1:15" ht="15.6" x14ac:dyDescent="0.35">
      <c r="A6" s="8" t="s">
        <v>101</v>
      </c>
      <c r="B6" s="19"/>
      <c r="C6" s="20"/>
      <c r="D6" s="13" t="s">
        <v>102</v>
      </c>
      <c r="E6" s="13" t="s">
        <v>103</v>
      </c>
      <c r="F6" s="126" t="s">
        <v>243</v>
      </c>
      <c r="H6" s="8" t="s">
        <v>253</v>
      </c>
      <c r="I6" s="36">
        <f>B7</f>
        <v>0</v>
      </c>
      <c r="J6" s="13" t="s">
        <v>11</v>
      </c>
      <c r="K6" s="297" t="s">
        <v>244</v>
      </c>
      <c r="L6" s="297"/>
      <c r="M6" s="297"/>
      <c r="N6" s="297"/>
      <c r="O6" s="298"/>
    </row>
    <row r="7" spans="1:15" ht="15.6" x14ac:dyDescent="0.25">
      <c r="A7" s="8" t="s">
        <v>104</v>
      </c>
      <c r="B7" s="110"/>
      <c r="C7" s="20"/>
      <c r="D7" s="13" t="s">
        <v>11</v>
      </c>
      <c r="E7" s="13"/>
      <c r="F7" s="34" t="s">
        <v>255</v>
      </c>
      <c r="H7" s="32" t="s">
        <v>121</v>
      </c>
      <c r="I7" s="140" t="e">
        <f>0.6*B17*B15*(B16/C16)^0.2</f>
        <v>#DIV/0!</v>
      </c>
      <c r="J7" s="127"/>
      <c r="K7" s="9" t="s">
        <v>450</v>
      </c>
      <c r="L7" s="9"/>
      <c r="M7" s="9"/>
      <c r="N7" s="9"/>
      <c r="O7" s="10"/>
    </row>
    <row r="8" spans="1:15" ht="16.8" thickBot="1" x14ac:dyDescent="0.4">
      <c r="A8" s="8" t="s">
        <v>14</v>
      </c>
      <c r="B8" s="111"/>
      <c r="C8" s="127"/>
      <c r="D8" s="9" t="s">
        <v>15</v>
      </c>
      <c r="E8" s="13"/>
      <c r="F8" s="126" t="s">
        <v>232</v>
      </c>
      <c r="H8" s="142" t="s">
        <v>160</v>
      </c>
      <c r="I8" s="143" t="e">
        <f>0.075*B17</f>
        <v>#DIV/0!</v>
      </c>
      <c r="J8" s="127" t="s">
        <v>162</v>
      </c>
      <c r="K8" s="144"/>
      <c r="L8" s="144"/>
      <c r="M8" s="127"/>
      <c r="N8" s="144"/>
      <c r="O8" s="145"/>
    </row>
    <row r="9" spans="1:15" ht="16.2" x14ac:dyDescent="0.35">
      <c r="A9" s="32"/>
      <c r="B9" s="20"/>
      <c r="C9" s="20"/>
      <c r="D9" s="9" t="s">
        <v>20</v>
      </c>
      <c r="E9" s="13"/>
      <c r="F9" s="126"/>
      <c r="H9" s="146" t="s">
        <v>161</v>
      </c>
      <c r="I9" s="147" t="e">
        <f>I7*SQRT(9.81*I6^5)</f>
        <v>#DIV/0!</v>
      </c>
      <c r="J9" s="66" t="s">
        <v>7</v>
      </c>
      <c r="K9" s="148" t="s">
        <v>159</v>
      </c>
      <c r="L9" s="147">
        <f>B13+C13</f>
        <v>0</v>
      </c>
      <c r="M9" s="66" t="s">
        <v>7</v>
      </c>
      <c r="N9" s="294" t="e">
        <f>IF(I9&gt;L9,"möglich","unmöglich")</f>
        <v>#DIV/0!</v>
      </c>
      <c r="O9" s="295"/>
    </row>
    <row r="10" spans="1:15" ht="14.4" thickBot="1" x14ac:dyDescent="0.3">
      <c r="A10" s="56" t="s">
        <v>254</v>
      </c>
      <c r="B10" s="128" t="s">
        <v>105</v>
      </c>
      <c r="C10" s="128" t="s">
        <v>106</v>
      </c>
      <c r="D10" s="9"/>
      <c r="E10" s="13"/>
      <c r="F10" s="126"/>
      <c r="M10" s="1"/>
    </row>
    <row r="11" spans="1:15" ht="15.6" x14ac:dyDescent="0.25">
      <c r="A11" s="8" t="s">
        <v>19</v>
      </c>
      <c r="B11" s="112"/>
      <c r="C11" s="113"/>
      <c r="D11" s="9" t="s">
        <v>20</v>
      </c>
      <c r="E11" s="13"/>
      <c r="F11" s="126" t="s">
        <v>231</v>
      </c>
      <c r="M11" s="1"/>
    </row>
    <row r="12" spans="1:15" ht="15.6" x14ac:dyDescent="0.25">
      <c r="A12" s="8" t="s">
        <v>107</v>
      </c>
      <c r="B12" s="114"/>
      <c r="C12" s="115"/>
      <c r="D12" s="9" t="s">
        <v>11</v>
      </c>
      <c r="E12" s="13"/>
      <c r="F12" s="34" t="s">
        <v>239</v>
      </c>
      <c r="L12" s="75"/>
    </row>
    <row r="13" spans="1:15" ht="16.8" thickBot="1" x14ac:dyDescent="0.3">
      <c r="A13" s="8" t="s">
        <v>6</v>
      </c>
      <c r="B13" s="116"/>
      <c r="C13" s="117"/>
      <c r="D13" s="9" t="s">
        <v>7</v>
      </c>
      <c r="E13" s="13"/>
      <c r="F13" s="34" t="s">
        <v>260</v>
      </c>
      <c r="J13" s="6"/>
      <c r="K13" s="52"/>
      <c r="L13" s="16"/>
    </row>
    <row r="14" spans="1:15" ht="14.4" x14ac:dyDescent="0.25">
      <c r="A14" s="8" t="s">
        <v>229</v>
      </c>
      <c r="B14" s="36" t="e">
        <f>B13/($B$8*SQRT(B11)*POWER(B12,8/3))</f>
        <v>#DIV/0!</v>
      </c>
      <c r="C14" s="36" t="e">
        <f>C13/($B$8*SQRT(C11)*POWER(C12,8/3))</f>
        <v>#DIV/0!</v>
      </c>
      <c r="D14" s="9"/>
      <c r="E14" s="13"/>
      <c r="F14" s="34" t="s">
        <v>245</v>
      </c>
      <c r="J14" s="6"/>
      <c r="K14" s="52"/>
      <c r="L14" s="16"/>
    </row>
    <row r="15" spans="1:15" ht="14.4" x14ac:dyDescent="0.25">
      <c r="A15" s="8" t="s">
        <v>108</v>
      </c>
      <c r="B15" s="36" t="e">
        <f>0.926*SQRT(1-SQRT(1-3.11*B14))</f>
        <v>#DIV/0!</v>
      </c>
      <c r="C15" s="36" t="e">
        <f>0.926*SQRT(1-SQRT(1-3.11*C14))</f>
        <v>#DIV/0!</v>
      </c>
      <c r="D15" s="9" t="s">
        <v>109</v>
      </c>
      <c r="E15" s="13" t="s">
        <v>110</v>
      </c>
      <c r="F15" s="126" t="s">
        <v>246</v>
      </c>
      <c r="J15" s="72"/>
      <c r="K15" s="73"/>
    </row>
    <row r="16" spans="1:15" ht="14.4" x14ac:dyDescent="0.25">
      <c r="A16" s="8" t="s">
        <v>39</v>
      </c>
      <c r="B16" s="36" t="e">
        <f>B15*B12</f>
        <v>#DIV/0!</v>
      </c>
      <c r="C16" s="36" t="e">
        <f>C15*C12</f>
        <v>#DIV/0!</v>
      </c>
      <c r="D16" s="9" t="s">
        <v>11</v>
      </c>
      <c r="E16" s="13"/>
      <c r="F16" s="34" t="s">
        <v>215</v>
      </c>
      <c r="J16" s="72"/>
      <c r="K16" s="73"/>
      <c r="L16" s="11"/>
      <c r="N16" s="73"/>
      <c r="O16" s="11"/>
    </row>
    <row r="17" spans="1:16" ht="14.4" x14ac:dyDescent="0.25">
      <c r="A17" s="8" t="s">
        <v>111</v>
      </c>
      <c r="B17" s="36" t="e">
        <f>B13/SQRT(9.81*B12*B16^4)</f>
        <v>#DIV/0!</v>
      </c>
      <c r="C17" s="36" t="e">
        <f>C13/SQRT(9.81*C12*C16^4)</f>
        <v>#DIV/0!</v>
      </c>
      <c r="D17" s="9" t="s">
        <v>109</v>
      </c>
      <c r="E17" s="13" t="s">
        <v>112</v>
      </c>
      <c r="F17" s="126" t="s">
        <v>247</v>
      </c>
    </row>
    <row r="18" spans="1:16" ht="15.6" x14ac:dyDescent="0.35">
      <c r="A18" s="8" t="s">
        <v>33</v>
      </c>
      <c r="B18" s="36" t="e">
        <f>B12/$B$7</f>
        <v>#DIV/0!</v>
      </c>
      <c r="C18" s="36" t="e">
        <f>C12/$B$7</f>
        <v>#DIV/0!</v>
      </c>
      <c r="D18" s="9" t="s">
        <v>109</v>
      </c>
      <c r="E18" s="13" t="s">
        <v>113</v>
      </c>
      <c r="F18" s="126" t="s">
        <v>240</v>
      </c>
    </row>
    <row r="19" spans="1:16" ht="14.4" x14ac:dyDescent="0.25">
      <c r="A19" s="8" t="s">
        <v>114</v>
      </c>
      <c r="B19" s="129" t="e">
        <f>B17*B15*B18</f>
        <v>#DIV/0!</v>
      </c>
      <c r="C19" s="130" t="e">
        <f>C17*C15*C18*B23</f>
        <v>#DIV/0!</v>
      </c>
      <c r="D19" s="9" t="s">
        <v>109</v>
      </c>
      <c r="E19" s="13"/>
      <c r="F19" s="126" t="s">
        <v>242</v>
      </c>
      <c r="P19" s="6"/>
    </row>
    <row r="20" spans="1:16" x14ac:dyDescent="0.25">
      <c r="A20" s="32" t="s">
        <v>100</v>
      </c>
      <c r="B20" s="131" t="s">
        <v>115</v>
      </c>
      <c r="C20" s="132" t="s">
        <v>116</v>
      </c>
      <c r="D20" s="9"/>
      <c r="E20" s="133" t="s">
        <v>261</v>
      </c>
      <c r="F20" s="126"/>
      <c r="P20" s="52"/>
    </row>
    <row r="21" spans="1:16" x14ac:dyDescent="0.25">
      <c r="A21" s="32"/>
      <c r="B21" s="20"/>
      <c r="C21" s="20"/>
      <c r="D21" s="9"/>
      <c r="E21" s="13"/>
      <c r="F21" s="126"/>
      <c r="P21" s="52"/>
    </row>
    <row r="22" spans="1:16" x14ac:dyDescent="0.25">
      <c r="A22" s="32" t="s">
        <v>117</v>
      </c>
      <c r="B22" s="36">
        <f>IF(B6&lt;45,SIN($B$6*PI()/180),0.707106)</f>
        <v>0</v>
      </c>
      <c r="C22" s="20"/>
      <c r="D22" s="13" t="s">
        <v>109</v>
      </c>
      <c r="E22" s="13" t="s">
        <v>118</v>
      </c>
      <c r="F22" s="126"/>
      <c r="P22" s="52"/>
    </row>
    <row r="23" spans="1:16" x14ac:dyDescent="0.25">
      <c r="A23" s="32" t="s">
        <v>119</v>
      </c>
      <c r="B23" s="36">
        <f>IF(B6&lt;45,COS($B$6*PI()/180),0.707107)</f>
        <v>1</v>
      </c>
      <c r="C23" s="20"/>
      <c r="D23" s="13" t="s">
        <v>109</v>
      </c>
      <c r="E23" s="13" t="s">
        <v>118</v>
      </c>
      <c r="F23" s="126"/>
      <c r="P23" s="52"/>
    </row>
    <row r="24" spans="1:16" ht="27.6" x14ac:dyDescent="0.25">
      <c r="A24" s="32" t="s">
        <v>120</v>
      </c>
      <c r="B24" s="134" t="e">
        <f>(B13+C13)/SQRT(9.81*B7^5)</f>
        <v>#DIV/0!</v>
      </c>
      <c r="C24" s="20"/>
      <c r="D24" s="13" t="s">
        <v>109</v>
      </c>
      <c r="E24" s="13"/>
      <c r="F24" s="135" t="s">
        <v>248</v>
      </c>
      <c r="G24" s="16"/>
      <c r="P24" s="52"/>
    </row>
    <row r="25" spans="1:16" ht="15.6" x14ac:dyDescent="0.25">
      <c r="A25" s="136" t="s">
        <v>121</v>
      </c>
      <c r="B25" s="258" t="e">
        <f>(B17*((B16^1.4)/(B7*C16^0.4))*(B22^0.3))-0.3333</f>
        <v>#DIV/0!</v>
      </c>
      <c r="C25" s="119" t="e">
        <f>IF(B25&gt;$B$24,"möglich","unmöglich")</f>
        <v>#DIV/0!</v>
      </c>
      <c r="D25" s="121" t="s">
        <v>109</v>
      </c>
      <c r="E25" s="137" t="s">
        <v>193</v>
      </c>
      <c r="F25" s="296" t="s">
        <v>448</v>
      </c>
      <c r="M25" s="38"/>
      <c r="N25" s="38"/>
      <c r="O25" s="16"/>
      <c r="P25" s="52"/>
    </row>
    <row r="26" spans="1:16" ht="15.6" x14ac:dyDescent="0.25">
      <c r="A26" s="32" t="s">
        <v>121</v>
      </c>
      <c r="B26" s="259" t="e">
        <f>(0.8*B17*((B16^1.2)/(B7*C16^0.2))*(B22^0.3))-0.3333</f>
        <v>#DIV/0!</v>
      </c>
      <c r="C26" s="20" t="e">
        <f t="shared" ref="C26:C27" si="0">IF(B26&gt;$B$24,"möglich","unmöglich")</f>
        <v>#DIV/0!</v>
      </c>
      <c r="D26" s="13" t="s">
        <v>109</v>
      </c>
      <c r="E26" s="138" t="s">
        <v>158</v>
      </c>
      <c r="F26" s="296"/>
      <c r="G26" s="16"/>
      <c r="M26" s="38"/>
      <c r="N26" s="38"/>
      <c r="O26" s="16"/>
      <c r="P26" s="52"/>
    </row>
    <row r="27" spans="1:16" ht="15.6" x14ac:dyDescent="0.25">
      <c r="A27" s="123" t="s">
        <v>121</v>
      </c>
      <c r="B27" s="260" t="e">
        <f>(C17*((C16^1.2)/(B7*B16^0.2))*(B22^0.6))-0.3333</f>
        <v>#DIV/0!</v>
      </c>
      <c r="C27" s="107" t="e">
        <f t="shared" si="0"/>
        <v>#DIV/0!</v>
      </c>
      <c r="D27" s="124" t="s">
        <v>109</v>
      </c>
      <c r="E27" s="139" t="s">
        <v>192</v>
      </c>
      <c r="F27" s="296"/>
      <c r="G27" s="16"/>
      <c r="M27" s="38"/>
      <c r="N27" s="38"/>
      <c r="O27" s="16"/>
      <c r="P27" s="52"/>
    </row>
    <row r="28" spans="1:16" ht="15.6" x14ac:dyDescent="0.25">
      <c r="A28" s="8" t="s">
        <v>122</v>
      </c>
      <c r="B28" s="36" t="e">
        <f>(2*B24)/(B19+C19)</f>
        <v>#DIV/0!</v>
      </c>
      <c r="C28" s="20"/>
      <c r="D28" s="13" t="s">
        <v>109</v>
      </c>
      <c r="E28" s="13"/>
      <c r="F28" s="34" t="s">
        <v>249</v>
      </c>
      <c r="G28" s="16"/>
      <c r="P28" s="52"/>
    </row>
    <row r="29" spans="1:16" ht="15.6" x14ac:dyDescent="0.25">
      <c r="A29" s="8" t="s">
        <v>123</v>
      </c>
      <c r="B29" s="140" t="e">
        <f>B28*B7</f>
        <v>#DIV/0!</v>
      </c>
      <c r="C29" s="20"/>
      <c r="D29" s="13" t="s">
        <v>11</v>
      </c>
      <c r="E29" s="13"/>
      <c r="F29" s="34" t="s">
        <v>251</v>
      </c>
      <c r="G29" s="16"/>
    </row>
    <row r="30" spans="1:16" ht="15.6" x14ac:dyDescent="0.25">
      <c r="A30" s="63" t="s">
        <v>449</v>
      </c>
      <c r="B30" s="64" t="e">
        <f>(B13+C13)/SQRT(9.81*B7*B29^4)</f>
        <v>#DIV/0!</v>
      </c>
      <c r="C30" s="107"/>
      <c r="D30" s="124" t="s">
        <v>109</v>
      </c>
      <c r="E30" s="124"/>
      <c r="F30" s="141" t="s">
        <v>250</v>
      </c>
      <c r="G30" s="16"/>
    </row>
  </sheetData>
  <mergeCells count="5">
    <mergeCell ref="H4:O4"/>
    <mergeCell ref="H5:O5"/>
    <mergeCell ref="N9:O9"/>
    <mergeCell ref="F25:F27"/>
    <mergeCell ref="K6:O6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1A60B3-7DAB-464A-A275-5C86E25F838B}">
  <dimension ref="A1:F39"/>
  <sheetViews>
    <sheetView workbookViewId="0"/>
  </sheetViews>
  <sheetFormatPr defaultColWidth="9.109375" defaultRowHeight="13.8" x14ac:dyDescent="0.3"/>
  <cols>
    <col min="1" max="1" width="34.33203125" style="11" customWidth="1"/>
    <col min="2" max="2" width="10.6640625" style="6" customWidth="1"/>
    <col min="3" max="3" width="10.88671875" style="38" customWidth="1"/>
    <col min="4" max="4" width="7.44140625" style="11" customWidth="1"/>
    <col min="5" max="16384" width="9.109375" style="11"/>
  </cols>
  <sheetData>
    <row r="1" spans="1:5" x14ac:dyDescent="0.3">
      <c r="A1" s="16" t="s">
        <v>443</v>
      </c>
    </row>
    <row r="2" spans="1:5" s="5" customFormat="1" ht="30" x14ac:dyDescent="0.3">
      <c r="A2" s="186" t="s">
        <v>267</v>
      </c>
      <c r="B2" s="187"/>
      <c r="C2" s="152"/>
    </row>
    <row r="3" spans="1:5" ht="14.4" thickBot="1" x14ac:dyDescent="0.35">
      <c r="A3" s="160"/>
      <c r="E3" s="16"/>
    </row>
    <row r="4" spans="1:5" ht="14.4" x14ac:dyDescent="0.3">
      <c r="A4" s="6" t="s">
        <v>238</v>
      </c>
      <c r="B4" s="153" t="s">
        <v>101</v>
      </c>
      <c r="C4" s="154"/>
      <c r="D4" s="16" t="s">
        <v>102</v>
      </c>
      <c r="E4" s="16" t="s">
        <v>195</v>
      </c>
    </row>
    <row r="5" spans="1:5" ht="15.6" x14ac:dyDescent="0.3">
      <c r="A5" s="6" t="s">
        <v>196</v>
      </c>
      <c r="B5" s="17" t="s">
        <v>107</v>
      </c>
      <c r="C5" s="110"/>
      <c r="D5" s="16" t="s">
        <v>11</v>
      </c>
      <c r="E5" s="16" t="s">
        <v>259</v>
      </c>
    </row>
    <row r="6" spans="1:5" ht="16.2" x14ac:dyDescent="0.3">
      <c r="A6" s="6" t="s">
        <v>263</v>
      </c>
      <c r="B6" s="17" t="s">
        <v>6</v>
      </c>
      <c r="C6" s="19"/>
      <c r="D6" s="16" t="s">
        <v>7</v>
      </c>
      <c r="E6" s="16"/>
    </row>
    <row r="7" spans="1:5" ht="16.2" x14ac:dyDescent="0.3">
      <c r="A7" s="6" t="s">
        <v>232</v>
      </c>
      <c r="B7" s="17" t="s">
        <v>14</v>
      </c>
      <c r="C7" s="19"/>
      <c r="D7" s="16" t="s">
        <v>15</v>
      </c>
      <c r="E7" s="16" t="s">
        <v>235</v>
      </c>
    </row>
    <row r="8" spans="1:5" ht="16.2" thickBot="1" x14ac:dyDescent="0.35">
      <c r="A8" s="6" t="s">
        <v>230</v>
      </c>
      <c r="B8" s="17" t="s">
        <v>19</v>
      </c>
      <c r="C8" s="111"/>
      <c r="D8" s="16" t="s">
        <v>20</v>
      </c>
      <c r="E8" s="16"/>
    </row>
    <row r="9" spans="1:5" ht="14.4" x14ac:dyDescent="0.3">
      <c r="A9" s="6" t="s">
        <v>55</v>
      </c>
      <c r="B9" s="17" t="s">
        <v>229</v>
      </c>
      <c r="C9" s="52" t="e">
        <f>C6/(C7*SQRT(C8)*POWER(C5,8/3))</f>
        <v>#DIV/0!</v>
      </c>
      <c r="D9" s="16"/>
      <c r="E9" s="16" t="s">
        <v>165</v>
      </c>
    </row>
    <row r="10" spans="1:5" ht="15.6" x14ac:dyDescent="0.3">
      <c r="A10" s="6" t="s">
        <v>58</v>
      </c>
      <c r="B10" s="17" t="s">
        <v>197</v>
      </c>
      <c r="C10" s="52" t="e">
        <f>0.926*SQRT(1-SQRT(1-3.11*C9))</f>
        <v>#DIV/0!</v>
      </c>
      <c r="D10" s="16" t="s">
        <v>20</v>
      </c>
      <c r="E10" s="16" t="s">
        <v>233</v>
      </c>
    </row>
    <row r="11" spans="1:5" ht="15.6" x14ac:dyDescent="0.3">
      <c r="A11" s="6" t="s">
        <v>215</v>
      </c>
      <c r="B11" s="17" t="s">
        <v>150</v>
      </c>
      <c r="C11" s="52" t="e">
        <f>C10*C5</f>
        <v>#DIV/0!</v>
      </c>
      <c r="D11" s="16" t="s">
        <v>11</v>
      </c>
      <c r="E11" s="16"/>
    </row>
    <row r="12" spans="1:5" ht="15.6" x14ac:dyDescent="0.3">
      <c r="A12" s="6" t="s">
        <v>505</v>
      </c>
      <c r="B12" s="17" t="s">
        <v>506</v>
      </c>
      <c r="C12" s="52" t="e">
        <f>C6/SQRT(9.81*C5*C11^4)</f>
        <v>#DIV/0!</v>
      </c>
      <c r="D12" s="16" t="s">
        <v>20</v>
      </c>
      <c r="E12" s="16"/>
    </row>
    <row r="13" spans="1:5" ht="15.6" x14ac:dyDescent="0.3">
      <c r="A13" s="6" t="s">
        <v>95</v>
      </c>
      <c r="B13" s="17" t="s">
        <v>96</v>
      </c>
      <c r="C13" s="52" t="e">
        <f>C6/SQRT(9.81*C5^5)</f>
        <v>#DIV/0!</v>
      </c>
      <c r="D13" s="16" t="s">
        <v>20</v>
      </c>
      <c r="E13" s="16"/>
    </row>
    <row r="14" spans="1:5" ht="17.25" customHeight="1" thickBot="1" x14ac:dyDescent="0.35">
      <c r="A14" s="41" t="s">
        <v>198</v>
      </c>
      <c r="B14" s="81" t="s">
        <v>199</v>
      </c>
      <c r="C14" s="80" t="e">
        <f>C6/SQRT(9.81*C10^3*C5^5)</f>
        <v>#DIV/0!</v>
      </c>
      <c r="D14" s="16" t="s">
        <v>20</v>
      </c>
    </row>
    <row r="15" spans="1:5" ht="15.6" x14ac:dyDescent="0.3">
      <c r="A15" s="6" t="s">
        <v>200</v>
      </c>
      <c r="B15" s="17" t="s">
        <v>201</v>
      </c>
      <c r="C15" s="109"/>
      <c r="D15" s="11" t="s">
        <v>11</v>
      </c>
    </row>
    <row r="16" spans="1:5" ht="15" thickBot="1" x14ac:dyDescent="0.35">
      <c r="A16" s="6" t="s">
        <v>264</v>
      </c>
      <c r="B16" s="17" t="s">
        <v>106</v>
      </c>
      <c r="C16" s="155"/>
      <c r="D16" s="11" t="s">
        <v>11</v>
      </c>
    </row>
    <row r="17" spans="1:6" ht="15.6" x14ac:dyDescent="0.3">
      <c r="A17" s="6" t="s">
        <v>451</v>
      </c>
      <c r="B17" s="6" t="s">
        <v>202</v>
      </c>
      <c r="C17" s="52" t="e">
        <f>C15/C5</f>
        <v>#DIV/0!</v>
      </c>
      <c r="D17" s="11" t="s">
        <v>20</v>
      </c>
      <c r="E17" s="11" t="s">
        <v>203</v>
      </c>
    </row>
    <row r="18" spans="1:6" ht="14.4" x14ac:dyDescent="0.3">
      <c r="A18" s="6" t="s">
        <v>204</v>
      </c>
      <c r="B18" s="6" t="s">
        <v>142</v>
      </c>
      <c r="C18" s="52" t="e">
        <f>C16/C5</f>
        <v>#DIV/0!</v>
      </c>
      <c r="D18" s="11" t="s">
        <v>20</v>
      </c>
      <c r="E18" s="11" t="s">
        <v>205</v>
      </c>
    </row>
    <row r="20" spans="1:6" ht="15.6" x14ac:dyDescent="0.3">
      <c r="A20" s="188" t="s">
        <v>256</v>
      </c>
      <c r="B20" s="189"/>
      <c r="C20" s="149"/>
      <c r="D20" s="190"/>
      <c r="E20" s="190"/>
      <c r="F20" s="191"/>
    </row>
    <row r="21" spans="1:6" ht="14.4" x14ac:dyDescent="0.3">
      <c r="A21" s="61" t="s">
        <v>206</v>
      </c>
      <c r="B21" s="54" t="s">
        <v>207</v>
      </c>
      <c r="C21" s="36" t="e">
        <f>0.1*(C17+C18+5)</f>
        <v>#DIV/0!</v>
      </c>
      <c r="D21" s="9"/>
      <c r="E21" s="9"/>
      <c r="F21" s="10"/>
    </row>
    <row r="22" spans="1:6" x14ac:dyDescent="0.3">
      <c r="A22" s="61" t="s">
        <v>206</v>
      </c>
      <c r="B22" s="35" t="s">
        <v>208</v>
      </c>
      <c r="C22" s="36">
        <f>0.7-SIN((C4/8)/180*PI())</f>
        <v>0.7</v>
      </c>
      <c r="D22" s="9"/>
      <c r="E22" s="9"/>
      <c r="F22" s="10"/>
    </row>
    <row r="23" spans="1:6" ht="16.2" x14ac:dyDescent="0.3">
      <c r="A23" s="192" t="s">
        <v>209</v>
      </c>
      <c r="B23" s="55" t="s">
        <v>237</v>
      </c>
      <c r="C23" s="88" t="e">
        <f>C21*POWER(C10,C22-1.5)</f>
        <v>#DIV/0!</v>
      </c>
      <c r="D23" s="9"/>
      <c r="E23" s="9"/>
      <c r="F23" s="10"/>
    </row>
    <row r="24" spans="1:6" x14ac:dyDescent="0.3">
      <c r="A24" s="61" t="s">
        <v>210</v>
      </c>
      <c r="B24" s="35"/>
      <c r="C24" s="20" t="e">
        <f>IF(C23&gt;=C14,"möglich","unmöglich")</f>
        <v>#DIV/0!</v>
      </c>
      <c r="D24" s="9"/>
      <c r="E24" s="9"/>
      <c r="F24" s="10"/>
    </row>
    <row r="25" spans="1:6" ht="15.6" x14ac:dyDescent="0.3">
      <c r="A25" s="193" t="s">
        <v>236</v>
      </c>
      <c r="B25" s="194" t="s">
        <v>211</v>
      </c>
      <c r="C25" s="150" t="s">
        <v>262</v>
      </c>
      <c r="D25" s="66"/>
      <c r="E25" s="66"/>
      <c r="F25" s="65"/>
    </row>
    <row r="28" spans="1:6" ht="15.6" x14ac:dyDescent="0.3">
      <c r="A28" s="188" t="s">
        <v>258</v>
      </c>
      <c r="B28" s="189"/>
      <c r="C28" s="149"/>
      <c r="D28" s="190"/>
      <c r="E28" s="190"/>
      <c r="F28" s="191"/>
    </row>
    <row r="29" spans="1:6" ht="15.6" x14ac:dyDescent="0.3">
      <c r="A29" s="61" t="s">
        <v>209</v>
      </c>
      <c r="B29" s="54" t="s">
        <v>212</v>
      </c>
      <c r="C29" s="36" t="e">
        <f>(3-2*C10)*POWER(C10,1.5)</f>
        <v>#DIV/0!</v>
      </c>
      <c r="D29" s="9"/>
      <c r="E29" s="9"/>
      <c r="F29" s="10"/>
    </row>
    <row r="30" spans="1:6" x14ac:dyDescent="0.3">
      <c r="A30" s="61" t="s">
        <v>210</v>
      </c>
      <c r="B30" s="35"/>
      <c r="C30" s="20" t="e">
        <f>IF(C29&gt;=C13,"möglich","unmöglich")</f>
        <v>#DIV/0!</v>
      </c>
      <c r="D30" s="9"/>
      <c r="E30" s="9"/>
      <c r="F30" s="10"/>
    </row>
    <row r="31" spans="1:6" ht="15.6" x14ac:dyDescent="0.3">
      <c r="A31" s="193" t="s">
        <v>213</v>
      </c>
      <c r="B31" s="195" t="s">
        <v>214</v>
      </c>
      <c r="C31" s="107" t="e">
        <f>IF(0.7&gt;=C10,"möglich","unmöglich")</f>
        <v>#DIV/0!</v>
      </c>
      <c r="D31" s="66"/>
      <c r="E31" s="66"/>
      <c r="F31" s="65"/>
    </row>
    <row r="33" spans="1:6" ht="15.6" x14ac:dyDescent="0.3">
      <c r="A33" s="188" t="s">
        <v>257</v>
      </c>
      <c r="B33" s="196"/>
      <c r="C33" s="151"/>
      <c r="D33" s="197"/>
      <c r="E33" s="197"/>
      <c r="F33" s="198"/>
    </row>
    <row r="34" spans="1:6" ht="14.4" x14ac:dyDescent="0.3">
      <c r="A34" s="61"/>
      <c r="B34" s="35" t="s">
        <v>265</v>
      </c>
      <c r="C34" s="36">
        <f>SIN((C4)/180*PI())</f>
        <v>0</v>
      </c>
      <c r="D34" s="9"/>
      <c r="E34" s="9"/>
      <c r="F34" s="10"/>
    </row>
    <row r="35" spans="1:6" ht="15.6" x14ac:dyDescent="0.3">
      <c r="A35" s="61" t="s">
        <v>209</v>
      </c>
      <c r="B35" s="54" t="s">
        <v>212</v>
      </c>
      <c r="C35" s="36" t="e">
        <f>(3*C34*(1-C10)+C10)*POWER(C10,1.5)</f>
        <v>#DIV/0!</v>
      </c>
      <c r="D35" s="9"/>
      <c r="E35" s="9"/>
      <c r="F35" s="10"/>
    </row>
    <row r="36" spans="1:6" x14ac:dyDescent="0.3">
      <c r="A36" s="61" t="s">
        <v>210</v>
      </c>
      <c r="B36" s="35"/>
      <c r="C36" s="20" t="e">
        <f>IF(C35&gt;=C13,"möglich","unmöglich")</f>
        <v>#DIV/0!</v>
      </c>
      <c r="D36" s="9"/>
      <c r="E36" s="9"/>
      <c r="F36" s="10"/>
    </row>
    <row r="37" spans="1:6" ht="15.6" x14ac:dyDescent="0.3">
      <c r="A37" s="61" t="s">
        <v>213</v>
      </c>
      <c r="B37" s="199" t="s">
        <v>211</v>
      </c>
      <c r="C37" s="20">
        <f>IF(C4&lt;68,0.7,0.55)</f>
        <v>0.7</v>
      </c>
      <c r="D37" s="9"/>
      <c r="E37" s="9"/>
      <c r="F37" s="10"/>
    </row>
    <row r="38" spans="1:6" x14ac:dyDescent="0.3">
      <c r="A38" s="193" t="s">
        <v>213</v>
      </c>
      <c r="B38" s="195"/>
      <c r="C38" s="107" t="e">
        <f>IF(C37&gt;=C10,"möglich","unmöglich")</f>
        <v>#DIV/0!</v>
      </c>
      <c r="D38" s="66"/>
      <c r="E38" s="66"/>
      <c r="F38" s="65"/>
    </row>
    <row r="39" spans="1:6" x14ac:dyDescent="0.3">
      <c r="A39" s="82"/>
      <c r="B39" s="200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62"/>
  <sheetViews>
    <sheetView zoomScaleNormal="100" workbookViewId="0"/>
  </sheetViews>
  <sheetFormatPr defaultColWidth="9.109375" defaultRowHeight="13.8" x14ac:dyDescent="0.3"/>
  <cols>
    <col min="1" max="1" width="15.6640625" style="11" customWidth="1"/>
    <col min="2" max="5" width="10.6640625" style="11" customWidth="1"/>
    <col min="6" max="6" width="14.5546875" style="11" customWidth="1"/>
    <col min="7" max="10" width="10.6640625" style="11" customWidth="1"/>
    <col min="11" max="11" width="12.88671875" style="11" customWidth="1"/>
    <col min="12" max="13" width="10.6640625" style="11" customWidth="1"/>
    <col min="14" max="14" width="10.77734375" style="11" customWidth="1"/>
    <col min="15" max="16" width="10.6640625" style="11" customWidth="1"/>
    <col min="17" max="16384" width="9.109375" style="11"/>
  </cols>
  <sheetData>
    <row r="1" spans="1:14" x14ac:dyDescent="0.3">
      <c r="A1" s="16" t="s">
        <v>443</v>
      </c>
    </row>
    <row r="2" spans="1:14" ht="30" x14ac:dyDescent="0.3">
      <c r="A2" s="186" t="s">
        <v>479</v>
      </c>
    </row>
    <row r="3" spans="1:14" ht="15.6" customHeight="1" x14ac:dyDescent="0.3">
      <c r="A3" s="186"/>
    </row>
    <row r="4" spans="1:14" ht="14.4" thickBot="1" x14ac:dyDescent="0.35">
      <c r="A4" s="307" t="s">
        <v>334</v>
      </c>
      <c r="B4" s="308"/>
      <c r="C4" s="308"/>
      <c r="D4" s="309"/>
    </row>
    <row r="5" spans="1:14" ht="16.2" customHeight="1" thickBot="1" x14ac:dyDescent="0.35">
      <c r="A5" s="169" t="s">
        <v>282</v>
      </c>
      <c r="B5" s="305"/>
      <c r="C5" s="305"/>
      <c r="D5" s="306"/>
      <c r="F5" s="165" t="s">
        <v>279</v>
      </c>
      <c r="G5" s="201" t="s">
        <v>135</v>
      </c>
      <c r="H5" s="109"/>
      <c r="I5" s="156" t="s">
        <v>11</v>
      </c>
      <c r="K5" s="217" t="s">
        <v>282</v>
      </c>
      <c r="L5" s="218"/>
      <c r="M5" s="218"/>
      <c r="N5" s="219"/>
    </row>
    <row r="6" spans="1:14" ht="16.8" thickBot="1" x14ac:dyDescent="0.35">
      <c r="A6" s="61" t="s">
        <v>290</v>
      </c>
      <c r="B6" s="54" t="s">
        <v>280</v>
      </c>
      <c r="C6" s="109"/>
      <c r="D6" s="10" t="s">
        <v>11</v>
      </c>
      <c r="F6" s="202"/>
      <c r="G6" s="54" t="s">
        <v>136</v>
      </c>
      <c r="H6" s="155"/>
      <c r="I6" s="10" t="s">
        <v>11</v>
      </c>
      <c r="K6" s="61" t="s">
        <v>303</v>
      </c>
      <c r="L6" s="54" t="s">
        <v>340</v>
      </c>
      <c r="M6" s="36" t="e">
        <f>L27</f>
        <v>#DIV/0!</v>
      </c>
      <c r="N6" s="10" t="s">
        <v>11</v>
      </c>
    </row>
    <row r="7" spans="1:14" ht="16.2" thickBot="1" x14ac:dyDescent="0.35">
      <c r="A7" s="61" t="s">
        <v>294</v>
      </c>
      <c r="B7" s="54" t="s">
        <v>137</v>
      </c>
      <c r="C7" s="166"/>
      <c r="D7" s="10" t="s">
        <v>20</v>
      </c>
      <c r="F7" s="61"/>
      <c r="G7" s="54" t="s">
        <v>138</v>
      </c>
      <c r="H7" s="36">
        <f>0.5*(H5+H6)</f>
        <v>0</v>
      </c>
      <c r="I7" s="10" t="s">
        <v>11</v>
      </c>
      <c r="K7" s="61" t="s">
        <v>304</v>
      </c>
      <c r="L7" s="54" t="s">
        <v>339</v>
      </c>
      <c r="M7" s="36" t="e">
        <f>M6/C6</f>
        <v>#DIV/0!</v>
      </c>
      <c r="N7" s="10" t="s">
        <v>20</v>
      </c>
    </row>
    <row r="8" spans="1:14" ht="16.8" thickBot="1" x14ac:dyDescent="0.35">
      <c r="A8" s="61" t="s">
        <v>232</v>
      </c>
      <c r="B8" s="54" t="s">
        <v>14</v>
      </c>
      <c r="C8" s="19"/>
      <c r="D8" s="10" t="s">
        <v>15</v>
      </c>
      <c r="F8" s="61"/>
      <c r="G8" s="54" t="s">
        <v>106</v>
      </c>
      <c r="H8" s="43"/>
      <c r="I8" s="10" t="s">
        <v>11</v>
      </c>
      <c r="K8" s="61"/>
      <c r="L8" s="91" t="s">
        <v>284</v>
      </c>
      <c r="M8" s="36" t="e">
        <f>C12</f>
        <v>#DIV/0!</v>
      </c>
      <c r="N8" s="10" t="s">
        <v>11</v>
      </c>
    </row>
    <row r="9" spans="1:14" ht="16.8" thickBot="1" x14ac:dyDescent="0.35">
      <c r="A9" s="61" t="s">
        <v>289</v>
      </c>
      <c r="B9" s="91" t="s">
        <v>194</v>
      </c>
      <c r="C9" s="167"/>
      <c r="D9" s="162" t="s">
        <v>139</v>
      </c>
      <c r="F9" s="61"/>
      <c r="G9" s="54" t="s">
        <v>295</v>
      </c>
      <c r="H9" s="36">
        <f>(H6-H5)</f>
        <v>0</v>
      </c>
      <c r="I9" s="10" t="s">
        <v>11</v>
      </c>
      <c r="K9" s="61"/>
      <c r="L9" s="299" t="e">
        <f>IF(M7&lt;0.85, "kein Zuschlagen", "Zuschlagen Zufluss")</f>
        <v>#DIV/0!</v>
      </c>
      <c r="M9" s="299"/>
      <c r="N9" s="300"/>
    </row>
    <row r="10" spans="1:14" ht="15.6" x14ac:dyDescent="0.3">
      <c r="A10" s="170" t="s">
        <v>165</v>
      </c>
      <c r="B10" s="91" t="s">
        <v>283</v>
      </c>
      <c r="C10" s="140" t="e">
        <f>C9/(C8*SQRT(C7)*POWER(C6,8/3))</f>
        <v>#DIV/0!</v>
      </c>
      <c r="D10" s="162" t="s">
        <v>20</v>
      </c>
      <c r="F10" s="61"/>
      <c r="G10" s="54" t="s">
        <v>125</v>
      </c>
      <c r="H10" s="154"/>
      <c r="I10" s="10" t="s">
        <v>20</v>
      </c>
      <c r="K10" s="193"/>
      <c r="L10" s="301" t="e">
        <f>IF(M6&lt;M8, "überstautes Wehr (vermeiden!)", "Staukurve in Zufluss")</f>
        <v>#DIV/0!</v>
      </c>
      <c r="M10" s="301"/>
      <c r="N10" s="302"/>
    </row>
    <row r="11" spans="1:14" ht="15.6" x14ac:dyDescent="0.3">
      <c r="A11" s="170" t="s">
        <v>246</v>
      </c>
      <c r="B11" s="91" t="s">
        <v>288</v>
      </c>
      <c r="C11" s="140" t="e">
        <f>0.926*SQRT(1-SQRT(1-3.11*C10))</f>
        <v>#DIV/0!</v>
      </c>
      <c r="D11" s="162" t="s">
        <v>20</v>
      </c>
      <c r="F11" s="61"/>
      <c r="G11" s="54" t="s">
        <v>140</v>
      </c>
      <c r="H11" s="19"/>
      <c r="I11" s="10" t="s">
        <v>20</v>
      </c>
    </row>
    <row r="12" spans="1:14" ht="16.8" thickBot="1" x14ac:dyDescent="0.35">
      <c r="A12" s="170" t="s">
        <v>215</v>
      </c>
      <c r="B12" s="91" t="s">
        <v>284</v>
      </c>
      <c r="C12" s="140" t="e">
        <f>C11*C6</f>
        <v>#DIV/0!</v>
      </c>
      <c r="D12" s="162" t="s">
        <v>11</v>
      </c>
      <c r="F12" s="61"/>
      <c r="G12" s="54" t="s">
        <v>309</v>
      </c>
      <c r="H12" s="155"/>
      <c r="I12" s="162" t="s">
        <v>139</v>
      </c>
      <c r="K12" s="222" t="s">
        <v>353</v>
      </c>
      <c r="L12" s="120"/>
      <c r="M12" s="120"/>
      <c r="N12" s="156"/>
    </row>
    <row r="13" spans="1:14" ht="16.8" thickBot="1" x14ac:dyDescent="0.35">
      <c r="A13" s="170" t="s">
        <v>291</v>
      </c>
      <c r="B13" s="91" t="s">
        <v>285</v>
      </c>
      <c r="C13" s="140" t="e">
        <f>C6^2*(4/3)*POWER(C11,1.5)*(1-(C11/4)-(4*C11*C11/25))</f>
        <v>#DIV/0!</v>
      </c>
      <c r="D13" s="162" t="s">
        <v>147</v>
      </c>
      <c r="F13" s="61"/>
      <c r="G13" s="54" t="s">
        <v>148</v>
      </c>
      <c r="H13" s="36">
        <f>C9-H12</f>
        <v>0</v>
      </c>
      <c r="I13" s="162" t="s">
        <v>139</v>
      </c>
      <c r="K13" s="61"/>
      <c r="L13" s="54" t="s">
        <v>341</v>
      </c>
      <c r="M13" s="36">
        <f>L25</f>
        <v>0</v>
      </c>
      <c r="N13" s="34" t="s">
        <v>11</v>
      </c>
    </row>
    <row r="14" spans="1:14" ht="16.8" thickBot="1" x14ac:dyDescent="0.35">
      <c r="A14" s="170" t="s">
        <v>292</v>
      </c>
      <c r="B14" s="91" t="s">
        <v>286</v>
      </c>
      <c r="C14" s="140" t="e">
        <f>C9/C13</f>
        <v>#DIV/0!</v>
      </c>
      <c r="D14" s="162" t="s">
        <v>69</v>
      </c>
      <c r="F14" s="61"/>
      <c r="G14" s="203" t="s">
        <v>335</v>
      </c>
      <c r="H14" s="183" t="e">
        <f>H13/H8</f>
        <v>#DIV/0!</v>
      </c>
      <c r="I14" s="204" t="s">
        <v>20</v>
      </c>
      <c r="K14" s="61" t="s">
        <v>302</v>
      </c>
      <c r="L14" s="54" t="s">
        <v>85</v>
      </c>
      <c r="M14" s="20">
        <v>0.61</v>
      </c>
      <c r="N14" s="34" t="s">
        <v>50</v>
      </c>
    </row>
    <row r="15" spans="1:14" ht="15.6" customHeight="1" thickBot="1" x14ac:dyDescent="0.35">
      <c r="A15" s="171" t="s">
        <v>293</v>
      </c>
      <c r="B15" s="172" t="s">
        <v>287</v>
      </c>
      <c r="C15" s="168" t="e">
        <f>C9/SQRT(9.81*C6*C12^4)</f>
        <v>#DIV/0!</v>
      </c>
      <c r="D15" s="163" t="s">
        <v>20</v>
      </c>
      <c r="F15" s="303" t="s">
        <v>281</v>
      </c>
      <c r="G15" s="175" t="s">
        <v>343</v>
      </c>
      <c r="H15" s="52" t="e">
        <f>H5/C6</f>
        <v>#DIV/0!</v>
      </c>
      <c r="I15" s="176" t="s">
        <v>126</v>
      </c>
      <c r="K15" s="61"/>
      <c r="L15" s="54" t="s">
        <v>305</v>
      </c>
      <c r="M15" s="223"/>
      <c r="N15" s="34" t="s">
        <v>11</v>
      </c>
    </row>
    <row r="16" spans="1:14" ht="16.2" x14ac:dyDescent="0.3">
      <c r="F16" s="304"/>
      <c r="G16" s="6" t="s">
        <v>344</v>
      </c>
      <c r="H16" s="52" t="e">
        <f>H8/C6</f>
        <v>#DIV/0!</v>
      </c>
      <c r="I16" s="177" t="s">
        <v>127</v>
      </c>
      <c r="K16" s="61"/>
      <c r="L16" s="54" t="s">
        <v>145</v>
      </c>
      <c r="M16" s="36">
        <f>M15*M15*PI()*0.25</f>
        <v>0</v>
      </c>
      <c r="N16" s="34" t="s">
        <v>22</v>
      </c>
    </row>
    <row r="17" spans="1:18" ht="16.8" thickBot="1" x14ac:dyDescent="0.35">
      <c r="A17" s="222" t="s">
        <v>279</v>
      </c>
      <c r="B17" s="27" t="s">
        <v>134</v>
      </c>
      <c r="C17" s="119">
        <v>0</v>
      </c>
      <c r="D17" s="156"/>
      <c r="F17" s="304"/>
      <c r="G17" s="6" t="s">
        <v>336</v>
      </c>
      <c r="H17" s="52" t="e">
        <f>M15/C6</f>
        <v>#DIV/0!</v>
      </c>
      <c r="I17" s="177" t="s">
        <v>128</v>
      </c>
      <c r="K17" s="225" t="s">
        <v>349</v>
      </c>
      <c r="L17" s="172" t="s">
        <v>306</v>
      </c>
      <c r="M17" s="226">
        <f>$M$16*$M$14*SQRT(2*9.81*(M13-0.5*M15))</f>
        <v>0</v>
      </c>
      <c r="N17" s="141" t="s">
        <v>7</v>
      </c>
    </row>
    <row r="18" spans="1:18" ht="16.8" thickBot="1" x14ac:dyDescent="0.35">
      <c r="A18" s="192" t="s">
        <v>188</v>
      </c>
      <c r="B18" s="55" t="s">
        <v>345</v>
      </c>
      <c r="C18" s="223"/>
      <c r="D18" s="10" t="s">
        <v>11</v>
      </c>
      <c r="F18" s="304"/>
      <c r="G18" s="17" t="s">
        <v>295</v>
      </c>
      <c r="H18" s="52">
        <f>H9</f>
        <v>0</v>
      </c>
      <c r="I18" s="177" t="s">
        <v>129</v>
      </c>
    </row>
    <row r="19" spans="1:18" ht="16.2" x14ac:dyDescent="0.3">
      <c r="A19" s="61" t="s">
        <v>296</v>
      </c>
      <c r="B19" s="54" t="s">
        <v>346</v>
      </c>
      <c r="C19" s="36">
        <f>C6*C18</f>
        <v>0</v>
      </c>
      <c r="D19" s="10" t="s">
        <v>22</v>
      </c>
      <c r="F19" s="304"/>
      <c r="G19" s="173" t="s">
        <v>337</v>
      </c>
      <c r="H19" s="52" t="e">
        <f>H14</f>
        <v>#DIV/0!</v>
      </c>
      <c r="I19" s="177" t="s">
        <v>141</v>
      </c>
      <c r="K19" s="224" t="s">
        <v>307</v>
      </c>
      <c r="L19" s="120"/>
      <c r="M19" s="120"/>
      <c r="N19" s="156"/>
    </row>
    <row r="20" spans="1:18" ht="16.2" x14ac:dyDescent="0.3">
      <c r="A20" s="61" t="s">
        <v>297</v>
      </c>
      <c r="B20" s="54" t="s">
        <v>340</v>
      </c>
      <c r="C20" s="36" t="e">
        <f>C18-(($C$9*$C$9)/(2*9.81*C19*C19))</f>
        <v>#DIV/0!</v>
      </c>
      <c r="D20" s="10" t="s">
        <v>11</v>
      </c>
      <c r="F20" s="178"/>
      <c r="G20" s="17" t="s">
        <v>143</v>
      </c>
      <c r="H20" s="52" t="e">
        <f>H13/SQRT(9.81*C6^2*L25^3)</f>
        <v>#DIV/0!</v>
      </c>
      <c r="I20" s="177" t="s">
        <v>130</v>
      </c>
      <c r="K20" s="61"/>
      <c r="L20" s="35" t="s">
        <v>342</v>
      </c>
      <c r="M20" s="36">
        <f>H6</f>
        <v>0</v>
      </c>
      <c r="N20" s="34" t="s">
        <v>157</v>
      </c>
    </row>
    <row r="21" spans="1:18" ht="16.2" x14ac:dyDescent="0.3">
      <c r="A21" s="61"/>
      <c r="B21" s="91" t="s">
        <v>299</v>
      </c>
      <c r="C21" s="140" t="e">
        <f>$C$9/SQRT(9.81*$C$6*C20^4)</f>
        <v>#DIV/0!</v>
      </c>
      <c r="D21" s="10" t="s">
        <v>20</v>
      </c>
      <c r="F21" s="14"/>
      <c r="G21" s="6" t="s">
        <v>301</v>
      </c>
      <c r="H21" s="52" t="e">
        <f>L28</f>
        <v>#DIV/0!</v>
      </c>
      <c r="I21" s="177" t="s">
        <v>131</v>
      </c>
      <c r="K21" s="225" t="s">
        <v>350</v>
      </c>
      <c r="L21" s="221" t="s">
        <v>146</v>
      </c>
      <c r="M21" s="226">
        <f>$M$16*$M$14*SQRT(2*9.81*M20)</f>
        <v>0</v>
      </c>
      <c r="N21" s="141" t="s">
        <v>7</v>
      </c>
      <c r="O21" s="227" t="s">
        <v>351</v>
      </c>
    </row>
    <row r="22" spans="1:18" ht="15.6" x14ac:dyDescent="0.3">
      <c r="A22" s="193" t="s">
        <v>298</v>
      </c>
      <c r="B22" s="231" t="s">
        <v>338</v>
      </c>
      <c r="C22" s="232" t="e">
        <f>0.2*$H$10*$H$11*SQRT(9.81)*POWER(C20+2*C18-3*$H$7,1.5)*SQRT((C18-$H$7)/(5*C18-2*C20-3*$H$7))</f>
        <v>#DIV/0!</v>
      </c>
      <c r="D22" s="233" t="s">
        <v>20</v>
      </c>
      <c r="F22" s="174"/>
      <c r="G22" s="179" t="s">
        <v>132</v>
      </c>
      <c r="H22" s="68" t="e">
        <f>M17/M21</f>
        <v>#DIV/0!</v>
      </c>
      <c r="I22" s="220" t="s">
        <v>133</v>
      </c>
    </row>
    <row r="23" spans="1:18" x14ac:dyDescent="0.3">
      <c r="G23" s="6"/>
      <c r="H23" s="52"/>
      <c r="I23" s="30"/>
    </row>
    <row r="24" spans="1:18" x14ac:dyDescent="0.3">
      <c r="A24" s="229" t="s">
        <v>279</v>
      </c>
      <c r="B24" s="189" t="s">
        <v>134</v>
      </c>
      <c r="C24" s="149">
        <v>1</v>
      </c>
      <c r="D24" s="149">
        <v>2</v>
      </c>
      <c r="E24" s="149">
        <v>3</v>
      </c>
      <c r="F24" s="149">
        <v>4</v>
      </c>
      <c r="G24" s="149">
        <v>5</v>
      </c>
      <c r="H24" s="149">
        <v>6</v>
      </c>
      <c r="I24" s="149">
        <v>7</v>
      </c>
      <c r="J24" s="149">
        <v>8</v>
      </c>
      <c r="K24" s="149">
        <v>9</v>
      </c>
      <c r="L24" s="180">
        <v>10</v>
      </c>
    </row>
    <row r="25" spans="1:18" ht="16.2" x14ac:dyDescent="0.3">
      <c r="A25" s="61"/>
      <c r="B25" s="55" t="s">
        <v>345</v>
      </c>
      <c r="C25" s="36">
        <f t="shared" ref="C25:L25" si="0">$C$18</f>
        <v>0</v>
      </c>
      <c r="D25" s="36">
        <f t="shared" si="0"/>
        <v>0</v>
      </c>
      <c r="E25" s="36">
        <f t="shared" si="0"/>
        <v>0</v>
      </c>
      <c r="F25" s="36">
        <f t="shared" si="0"/>
        <v>0</v>
      </c>
      <c r="G25" s="36">
        <f t="shared" si="0"/>
        <v>0</v>
      </c>
      <c r="H25" s="36">
        <f t="shared" si="0"/>
        <v>0</v>
      </c>
      <c r="I25" s="36">
        <f t="shared" si="0"/>
        <v>0</v>
      </c>
      <c r="J25" s="36">
        <f t="shared" si="0"/>
        <v>0</v>
      </c>
      <c r="K25" s="36">
        <f t="shared" si="0"/>
        <v>0</v>
      </c>
      <c r="L25" s="216">
        <f t="shared" si="0"/>
        <v>0</v>
      </c>
    </row>
    <row r="26" spans="1:18" ht="15.6" x14ac:dyDescent="0.3">
      <c r="A26" s="61" t="s">
        <v>300</v>
      </c>
      <c r="B26" s="54" t="s">
        <v>346</v>
      </c>
      <c r="C26" s="36" t="e">
        <f>((PI()/8)*$C$6*$C$6)+((C20-0.5*$C$6)*$C$6)</f>
        <v>#DIV/0!</v>
      </c>
      <c r="D26" s="36" t="e">
        <f>((PI()/8)*$C$6*$C$6)+((C27-0.5*$C$6)*$C$6)</f>
        <v>#DIV/0!</v>
      </c>
      <c r="E26" s="36" t="e">
        <f t="shared" ref="E26:K26" si="1">((PI()/8)*$C$6*$C$6)+((D27-0.5*$C$6)*$C$6)</f>
        <v>#DIV/0!</v>
      </c>
      <c r="F26" s="36" t="e">
        <f t="shared" si="1"/>
        <v>#DIV/0!</v>
      </c>
      <c r="G26" s="36" t="e">
        <f t="shared" si="1"/>
        <v>#DIV/0!</v>
      </c>
      <c r="H26" s="36" t="e">
        <f t="shared" si="1"/>
        <v>#DIV/0!</v>
      </c>
      <c r="I26" s="36" t="e">
        <f t="shared" si="1"/>
        <v>#DIV/0!</v>
      </c>
      <c r="J26" s="36" t="e">
        <f t="shared" si="1"/>
        <v>#DIV/0!</v>
      </c>
      <c r="K26" s="36" t="e">
        <f t="shared" si="1"/>
        <v>#DIV/0!</v>
      </c>
      <c r="L26" s="181" t="e">
        <f>((PI()/8)*$C$6*$C$6)+((K27-0.5*$C$6)*$C$6)</f>
        <v>#DIV/0!</v>
      </c>
    </row>
    <row r="27" spans="1:18" ht="16.2" x14ac:dyDescent="0.3">
      <c r="A27" s="61" t="s">
        <v>297</v>
      </c>
      <c r="B27" s="55" t="s">
        <v>347</v>
      </c>
      <c r="C27" s="36" t="e">
        <f t="shared" ref="C27:L27" si="2">C25-(($C$9*$C$9)/(2*9.81*C26*C26))</f>
        <v>#DIV/0!</v>
      </c>
      <c r="D27" s="36" t="e">
        <f t="shared" si="2"/>
        <v>#DIV/0!</v>
      </c>
      <c r="E27" s="36" t="e">
        <f t="shared" si="2"/>
        <v>#DIV/0!</v>
      </c>
      <c r="F27" s="36" t="e">
        <f t="shared" si="2"/>
        <v>#DIV/0!</v>
      </c>
      <c r="G27" s="36" t="e">
        <f t="shared" si="2"/>
        <v>#DIV/0!</v>
      </c>
      <c r="H27" s="36" t="e">
        <f t="shared" si="2"/>
        <v>#DIV/0!</v>
      </c>
      <c r="I27" s="36" t="e">
        <f t="shared" si="2"/>
        <v>#DIV/0!</v>
      </c>
      <c r="J27" s="36" t="e">
        <f t="shared" si="2"/>
        <v>#DIV/0!</v>
      </c>
      <c r="K27" s="36" t="e">
        <f t="shared" si="2"/>
        <v>#DIV/0!</v>
      </c>
      <c r="L27" s="216" t="e">
        <f t="shared" si="2"/>
        <v>#DIV/0!</v>
      </c>
    </row>
    <row r="28" spans="1:18" ht="16.2" thickBot="1" x14ac:dyDescent="0.35">
      <c r="A28" s="61"/>
      <c r="B28" s="35" t="s">
        <v>348</v>
      </c>
      <c r="C28" s="140" t="e">
        <f t="shared" ref="C28:L28" si="3">$C$9/SQRT(9.81*$C$6*C27^4)</f>
        <v>#DIV/0!</v>
      </c>
      <c r="D28" s="140" t="e">
        <f t="shared" si="3"/>
        <v>#DIV/0!</v>
      </c>
      <c r="E28" s="140" t="e">
        <f t="shared" si="3"/>
        <v>#DIV/0!</v>
      </c>
      <c r="F28" s="140" t="e">
        <f t="shared" si="3"/>
        <v>#DIV/0!</v>
      </c>
      <c r="G28" s="140" t="e">
        <f t="shared" si="3"/>
        <v>#DIV/0!</v>
      </c>
      <c r="H28" s="140" t="e">
        <f t="shared" si="3"/>
        <v>#DIV/0!</v>
      </c>
      <c r="I28" s="140" t="e">
        <f t="shared" si="3"/>
        <v>#DIV/0!</v>
      </c>
      <c r="J28" s="140" t="e">
        <f t="shared" si="3"/>
        <v>#DIV/0!</v>
      </c>
      <c r="K28" s="140" t="e">
        <f t="shared" si="3"/>
        <v>#DIV/0!</v>
      </c>
      <c r="L28" s="182" t="e">
        <f t="shared" si="3"/>
        <v>#DIV/0!</v>
      </c>
      <c r="R28" s="38"/>
    </row>
    <row r="29" spans="1:18" ht="16.8" thickBot="1" x14ac:dyDescent="0.35">
      <c r="A29" s="61" t="s">
        <v>298</v>
      </c>
      <c r="B29" s="203" t="s">
        <v>335</v>
      </c>
      <c r="C29" s="230" t="e">
        <f>0.2*$H$10*$H$11*SQRT(9.81)*POWER(C27+2*C25-3*$H$7,1.5)*SQRT((C25-$H$7)/(5*C25-2*C27-3*$H$7))</f>
        <v>#DIV/0!</v>
      </c>
      <c r="D29" s="230" t="e">
        <f t="shared" ref="D29:L29" si="4">0.2*$H$10*$H$11*SQRT(9.81)*POWER(D27+2*D25-3*$H$7,1.5)*SQRT((D25-$H$7)/(5*D25-2*D27-3*$H$7))</f>
        <v>#DIV/0!</v>
      </c>
      <c r="E29" s="230" t="e">
        <f t="shared" ref="E29:K29" si="5">0.2*$H$10*$H$11*SQRT(9.81)*POWER(E27+2*E25-3*$H$7,1.5)*SQRT((E25-$H$7)/(5*E25-2*E27-3*$H$7))</f>
        <v>#DIV/0!</v>
      </c>
      <c r="F29" s="230" t="e">
        <f t="shared" si="5"/>
        <v>#DIV/0!</v>
      </c>
      <c r="G29" s="230" t="e">
        <f t="shared" si="5"/>
        <v>#DIV/0!</v>
      </c>
      <c r="H29" s="230" t="e">
        <f t="shared" si="5"/>
        <v>#DIV/0!</v>
      </c>
      <c r="I29" s="230" t="e">
        <f t="shared" si="5"/>
        <v>#DIV/0!</v>
      </c>
      <c r="J29" s="230" t="e">
        <f t="shared" si="5"/>
        <v>#DIV/0!</v>
      </c>
      <c r="K29" s="230" t="e">
        <f t="shared" si="5"/>
        <v>#DIV/0!</v>
      </c>
      <c r="L29" s="183" t="e">
        <f t="shared" si="4"/>
        <v>#DIV/0!</v>
      </c>
      <c r="M29" s="227" t="s">
        <v>352</v>
      </c>
      <c r="R29" s="15"/>
    </row>
    <row r="30" spans="1:18" ht="15.6" x14ac:dyDescent="0.3">
      <c r="A30" s="193"/>
      <c r="B30" s="221" t="s">
        <v>6</v>
      </c>
      <c r="C30" s="64" t="e">
        <f>$H$12+$H$8*C29</f>
        <v>#DIV/0!</v>
      </c>
      <c r="D30" s="64" t="e">
        <f>$H$12+$H$8*D29</f>
        <v>#DIV/0!</v>
      </c>
      <c r="E30" s="64" t="e">
        <f t="shared" ref="E30:J30" si="6">$H$12+$H$8*E29</f>
        <v>#DIV/0!</v>
      </c>
      <c r="F30" s="64" t="e">
        <f t="shared" si="6"/>
        <v>#DIV/0!</v>
      </c>
      <c r="G30" s="64" t="e">
        <f t="shared" si="6"/>
        <v>#DIV/0!</v>
      </c>
      <c r="H30" s="64" t="e">
        <f t="shared" si="6"/>
        <v>#DIV/0!</v>
      </c>
      <c r="I30" s="64" t="e">
        <f t="shared" si="6"/>
        <v>#DIV/0!</v>
      </c>
      <c r="J30" s="64" t="e">
        <f t="shared" si="6"/>
        <v>#DIV/0!</v>
      </c>
      <c r="K30" s="64" t="e">
        <f>$H$12+$H$8*K29</f>
        <v>#DIV/0!</v>
      </c>
      <c r="L30" s="184" t="e">
        <f>$H$12+$H$8*L29</f>
        <v>#DIV/0!</v>
      </c>
      <c r="O30" s="6"/>
      <c r="P30" s="15"/>
      <c r="Q30" s="16"/>
    </row>
    <row r="34" spans="3:12" x14ac:dyDescent="0.3">
      <c r="H34" s="6"/>
      <c r="I34" s="15"/>
      <c r="J34" s="206"/>
      <c r="K34" s="97"/>
      <c r="L34" s="94"/>
    </row>
    <row r="38" spans="3:12" x14ac:dyDescent="0.3">
      <c r="C38" s="207"/>
      <c r="D38" s="207"/>
      <c r="E38" s="207"/>
      <c r="F38" s="207"/>
      <c r="G38" s="207"/>
      <c r="H38" s="207"/>
      <c r="I38" s="207"/>
      <c r="J38" s="207"/>
      <c r="K38" s="207"/>
    </row>
    <row r="58" spans="1:4" x14ac:dyDescent="0.3">
      <c r="A58" s="82"/>
    </row>
    <row r="62" spans="1:4" x14ac:dyDescent="0.3">
      <c r="B62" s="77"/>
      <c r="D62" s="77"/>
    </row>
  </sheetData>
  <mergeCells count="5">
    <mergeCell ref="L9:N9"/>
    <mergeCell ref="L10:N10"/>
    <mergeCell ref="F15:F19"/>
    <mergeCell ref="B5:D5"/>
    <mergeCell ref="A4:D4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29"/>
  <sheetViews>
    <sheetView workbookViewId="0"/>
  </sheetViews>
  <sheetFormatPr defaultColWidth="9.109375" defaultRowHeight="14.4" x14ac:dyDescent="0.3"/>
  <cols>
    <col min="1" max="1" width="4.77734375" style="6" customWidth="1"/>
    <col min="2" max="2" width="8" style="11" customWidth="1"/>
    <col min="3" max="3" width="9.109375" style="11"/>
    <col min="4" max="4" width="7.33203125" style="11" customWidth="1"/>
    <col min="5" max="6" width="9.109375" style="11"/>
    <col min="7" max="7" width="5.5546875" style="11" customWidth="1"/>
    <col min="8" max="8" width="5.88671875" style="6" customWidth="1"/>
    <col min="9" max="9" width="14.33203125" style="6" customWidth="1"/>
    <col min="10" max="10" width="12.6640625" style="38" customWidth="1"/>
    <col min="11" max="11" width="5.6640625" style="11" customWidth="1"/>
    <col min="12" max="12" width="29.44140625" style="76" customWidth="1"/>
    <col min="13" max="14" width="10.44140625" style="11" customWidth="1"/>
    <col min="15" max="15" width="7" style="11" customWidth="1"/>
    <col min="16" max="16384" width="9.109375" style="11"/>
  </cols>
  <sheetData>
    <row r="1" spans="1:18" x14ac:dyDescent="0.3">
      <c r="A1" s="16" t="s">
        <v>443</v>
      </c>
    </row>
    <row r="2" spans="1:18" s="5" customFormat="1" ht="30" x14ac:dyDescent="0.3">
      <c r="A2" s="186" t="s">
        <v>481</v>
      </c>
      <c r="B2" s="187"/>
      <c r="C2" s="152"/>
    </row>
    <row r="4" spans="1:18" ht="29.25" customHeight="1" thickBot="1" x14ac:dyDescent="0.35">
      <c r="A4" s="6" t="s">
        <v>23</v>
      </c>
      <c r="B4" s="315" t="s">
        <v>333</v>
      </c>
      <c r="C4" s="316"/>
      <c r="D4" s="316"/>
      <c r="E4" s="316"/>
      <c r="F4" s="316"/>
      <c r="G4" s="317"/>
      <c r="H4" s="6" t="s">
        <v>23</v>
      </c>
      <c r="I4" s="315" t="s">
        <v>271</v>
      </c>
      <c r="J4" s="316"/>
      <c r="K4" s="317"/>
      <c r="M4" s="315" t="s">
        <v>508</v>
      </c>
      <c r="N4" s="316"/>
      <c r="O4" s="317"/>
      <c r="R4" s="77"/>
    </row>
    <row r="5" spans="1:18" ht="16.8" thickBot="1" x14ac:dyDescent="0.35">
      <c r="B5" s="24" t="s">
        <v>6</v>
      </c>
      <c r="C5" s="109"/>
      <c r="D5" s="120" t="s">
        <v>7</v>
      </c>
      <c r="E5" s="24" t="s">
        <v>309</v>
      </c>
      <c r="F5" s="43"/>
      <c r="G5" s="156" t="s">
        <v>7</v>
      </c>
      <c r="I5" s="158" t="s">
        <v>124</v>
      </c>
      <c r="J5" s="313" t="s">
        <v>319</v>
      </c>
      <c r="K5" s="314"/>
      <c r="L5" s="159"/>
      <c r="M5" s="136"/>
      <c r="N5" s="28" t="s">
        <v>149</v>
      </c>
      <c r="O5" s="156"/>
    </row>
    <row r="6" spans="1:18" ht="16.2" x14ac:dyDescent="0.3">
      <c r="B6" s="8" t="s">
        <v>14</v>
      </c>
      <c r="C6" s="19"/>
      <c r="D6" s="9" t="s">
        <v>15</v>
      </c>
      <c r="E6" s="318" t="s">
        <v>310</v>
      </c>
      <c r="F6" s="299"/>
      <c r="G6" s="300"/>
      <c r="H6" s="6">
        <v>66</v>
      </c>
      <c r="I6" s="8" t="s">
        <v>33</v>
      </c>
      <c r="J6" s="36" t="e">
        <f>2*SQRT(F11-F11^2)</f>
        <v>#DIV/0!</v>
      </c>
      <c r="K6" s="10" t="s">
        <v>20</v>
      </c>
      <c r="L6" s="93" t="s">
        <v>268</v>
      </c>
      <c r="M6" s="8" t="s">
        <v>14</v>
      </c>
      <c r="N6" s="20">
        <f>C6</f>
        <v>0</v>
      </c>
      <c r="O6" s="10" t="s">
        <v>15</v>
      </c>
    </row>
    <row r="7" spans="1:18" ht="16.2" thickBot="1" x14ac:dyDescent="0.35">
      <c r="B7" s="63" t="s">
        <v>19</v>
      </c>
      <c r="C7" s="111"/>
      <c r="D7" s="66" t="s">
        <v>20</v>
      </c>
      <c r="E7" s="310" t="s">
        <v>321</v>
      </c>
      <c r="F7" s="301"/>
      <c r="G7" s="302"/>
      <c r="I7" s="42" t="s">
        <v>37</v>
      </c>
      <c r="J7" s="44" t="e">
        <f>J6*C9</f>
        <v>#DIV/0!</v>
      </c>
      <c r="K7" s="254" t="s">
        <v>11</v>
      </c>
      <c r="L7" s="16" t="s">
        <v>273</v>
      </c>
      <c r="M7" s="8" t="s">
        <v>19</v>
      </c>
      <c r="N7" s="20">
        <f>C7</f>
        <v>0</v>
      </c>
      <c r="O7" s="10" t="s">
        <v>20</v>
      </c>
    </row>
    <row r="8" spans="1:18" ht="16.8" thickBot="1" x14ac:dyDescent="0.35">
      <c r="B8" s="158" t="s">
        <v>164</v>
      </c>
      <c r="C8" s="28" t="s">
        <v>274</v>
      </c>
      <c r="D8" s="120"/>
      <c r="E8" s="158" t="s">
        <v>124</v>
      </c>
      <c r="F8" s="313" t="s">
        <v>311</v>
      </c>
      <c r="G8" s="314"/>
      <c r="I8" s="8" t="s">
        <v>106</v>
      </c>
      <c r="J8" s="259" t="e">
        <f>F12*F16</f>
        <v>#DIV/0!</v>
      </c>
      <c r="K8" s="10" t="s">
        <v>11</v>
      </c>
      <c r="L8" s="243" t="s">
        <v>441</v>
      </c>
      <c r="M8" s="8" t="s">
        <v>148</v>
      </c>
      <c r="N8" s="36" t="e">
        <f>J16</f>
        <v>#DIV/0!</v>
      </c>
      <c r="O8" s="10" t="s">
        <v>7</v>
      </c>
    </row>
    <row r="9" spans="1:18" ht="16.8" thickBot="1" x14ac:dyDescent="0.35">
      <c r="B9" s="8" t="s">
        <v>107</v>
      </c>
      <c r="C9" s="43"/>
      <c r="D9" s="9" t="s">
        <v>11</v>
      </c>
      <c r="E9" s="42"/>
      <c r="F9" s="311" t="s">
        <v>322</v>
      </c>
      <c r="G9" s="312"/>
      <c r="H9" s="6">
        <v>68</v>
      </c>
      <c r="I9" s="8" t="s">
        <v>106</v>
      </c>
      <c r="J9" s="259" t="e">
        <f>(F5+(0.1*C9^2*J6^1.5*F16*SQRT(2*9.81*F11*F12)))/(0.61*C9*J6*SQRT(2*9.81*F12)*POWER(1-C7,3))</f>
        <v>#DIV/0!</v>
      </c>
      <c r="K9" s="10" t="s">
        <v>11</v>
      </c>
      <c r="L9" s="243" t="s">
        <v>320</v>
      </c>
      <c r="M9" s="8" t="s">
        <v>107</v>
      </c>
      <c r="N9" s="36">
        <f>C9</f>
        <v>0</v>
      </c>
      <c r="O9" s="10" t="s">
        <v>11</v>
      </c>
    </row>
    <row r="10" spans="1:18" ht="16.2" x14ac:dyDescent="0.3">
      <c r="A10" s="6">
        <v>37</v>
      </c>
      <c r="B10" s="8" t="s">
        <v>56</v>
      </c>
      <c r="C10" s="36" t="e">
        <f>C5/(C6*SQRT(C7)*POWER(C9,8/3))</f>
        <v>#DIV/0!</v>
      </c>
      <c r="D10" s="9" t="s">
        <v>20</v>
      </c>
      <c r="E10" s="8" t="s">
        <v>312</v>
      </c>
      <c r="F10" s="36" t="e">
        <f>F5/(C6*SQRT(C7)*POWER(C9,8/3))</f>
        <v>#DIV/0!</v>
      </c>
      <c r="G10" s="10" t="s">
        <v>20</v>
      </c>
      <c r="H10" s="6">
        <v>69</v>
      </c>
      <c r="I10" s="8" t="s">
        <v>106</v>
      </c>
      <c r="J10" s="259" t="e">
        <f>1.5*F14*SQRT(F12/9.81)</f>
        <v>#DIV/0!</v>
      </c>
      <c r="K10" s="10" t="s">
        <v>11</v>
      </c>
      <c r="L10" s="243" t="s">
        <v>269</v>
      </c>
      <c r="M10" s="8" t="s">
        <v>326</v>
      </c>
      <c r="N10" s="36" t="e">
        <f>N8/(N6*SQRT(N7)*POWER(N9,8/3))</f>
        <v>#DIV/0!</v>
      </c>
      <c r="O10" s="10" t="s">
        <v>20</v>
      </c>
    </row>
    <row r="11" spans="1:18" ht="16.8" thickBot="1" x14ac:dyDescent="0.35">
      <c r="A11" s="6">
        <v>38</v>
      </c>
      <c r="B11" s="8" t="s">
        <v>197</v>
      </c>
      <c r="C11" s="36" t="e">
        <f>0.926*SQRT(1-SQRT(1-3.11*C10))</f>
        <v>#DIV/0!</v>
      </c>
      <c r="D11" s="9" t="s">
        <v>20</v>
      </c>
      <c r="E11" s="8" t="s">
        <v>313</v>
      </c>
      <c r="F11" s="36" t="e">
        <f>0.926*SQRT(1-SQRT(1-3.11*F10))</f>
        <v>#DIV/0!</v>
      </c>
      <c r="G11" s="10" t="s">
        <v>20</v>
      </c>
      <c r="H11" s="6">
        <v>70</v>
      </c>
      <c r="I11" s="8" t="s">
        <v>106</v>
      </c>
      <c r="J11" s="259" t="e">
        <f>(1.7*F14*SQRT(F12/9.81))+(1.15*F12*C7)</f>
        <v>#DIV/0!</v>
      </c>
      <c r="K11" s="10" t="s">
        <v>11</v>
      </c>
      <c r="L11" s="243" t="s">
        <v>270</v>
      </c>
      <c r="M11" s="8" t="s">
        <v>327</v>
      </c>
      <c r="N11" s="36" t="e">
        <f>0.926*SQRT(1-SQRT(1-3.11*N10))</f>
        <v>#DIV/0!</v>
      </c>
      <c r="O11" s="10" t="s">
        <v>20</v>
      </c>
    </row>
    <row r="12" spans="1:18" ht="16.2" thickBot="1" x14ac:dyDescent="0.35">
      <c r="B12" s="8" t="s">
        <v>150</v>
      </c>
      <c r="C12" s="36" t="e">
        <f>C11*C9</f>
        <v>#DIV/0!</v>
      </c>
      <c r="D12" s="9" t="s">
        <v>11</v>
      </c>
      <c r="E12" s="8" t="s">
        <v>314</v>
      </c>
      <c r="F12" s="36" t="e">
        <f>F11*C9</f>
        <v>#DIV/0!</v>
      </c>
      <c r="G12" s="10" t="s">
        <v>11</v>
      </c>
      <c r="I12" s="255" t="s">
        <v>106</v>
      </c>
      <c r="J12" s="43"/>
      <c r="K12" s="256" t="s">
        <v>11</v>
      </c>
      <c r="L12" s="161" t="s">
        <v>151</v>
      </c>
      <c r="M12" s="8" t="s">
        <v>328</v>
      </c>
      <c r="N12" s="36" t="e">
        <f>N11*N9</f>
        <v>#DIV/0!</v>
      </c>
      <c r="O12" s="10" t="s">
        <v>11</v>
      </c>
    </row>
    <row r="13" spans="1:18" ht="16.2" x14ac:dyDescent="0.3">
      <c r="A13" s="6">
        <v>39</v>
      </c>
      <c r="B13" s="8" t="s">
        <v>66</v>
      </c>
      <c r="C13" s="36" t="e">
        <f>(C9^2)*(4/3)*POWER(C11,3/2)*(1-(C11/4)-((4*(C11^2))/25))</f>
        <v>#DIV/0!</v>
      </c>
      <c r="D13" s="9" t="s">
        <v>22</v>
      </c>
      <c r="E13" s="8" t="s">
        <v>315</v>
      </c>
      <c r="F13" s="36" t="e">
        <f>(C9^2)*(4/3)*POWER(F11,3/2)*(1-(F11/4)-((4*(F11^2))/25))</f>
        <v>#DIV/0!</v>
      </c>
      <c r="G13" s="10" t="s">
        <v>22</v>
      </c>
      <c r="L13" s="159"/>
      <c r="M13" s="8" t="s">
        <v>329</v>
      </c>
      <c r="N13" s="36" t="e">
        <f>(N9^2)*(4/3)*POWER(N11,3/2)*(1-(N11/4)-((4*(N11^2))/25))</f>
        <v>#DIV/0!</v>
      </c>
      <c r="O13" s="10" t="s">
        <v>22</v>
      </c>
    </row>
    <row r="14" spans="1:18" ht="15.6" x14ac:dyDescent="0.3">
      <c r="B14" s="8" t="s">
        <v>68</v>
      </c>
      <c r="C14" s="36" t="e">
        <f>C5/C13</f>
        <v>#DIV/0!</v>
      </c>
      <c r="D14" s="9" t="s">
        <v>69</v>
      </c>
      <c r="E14" s="8" t="s">
        <v>316</v>
      </c>
      <c r="F14" s="36" t="e">
        <f>F5/F13</f>
        <v>#DIV/0!</v>
      </c>
      <c r="G14" s="10" t="s">
        <v>69</v>
      </c>
      <c r="I14" s="158" t="s">
        <v>164</v>
      </c>
      <c r="J14" s="28" t="s">
        <v>274</v>
      </c>
      <c r="K14" s="156"/>
      <c r="L14" s="159"/>
      <c r="M14" s="8" t="s">
        <v>330</v>
      </c>
      <c r="N14" s="36" t="e">
        <f>N8/N13</f>
        <v>#DIV/0!</v>
      </c>
      <c r="O14" s="10" t="s">
        <v>69</v>
      </c>
    </row>
    <row r="15" spans="1:18" ht="18.600000000000001" customHeight="1" x14ac:dyDescent="0.3">
      <c r="A15" s="6">
        <v>41</v>
      </c>
      <c r="B15" s="8" t="s">
        <v>153</v>
      </c>
      <c r="C15" s="36" t="e">
        <f>C9*(2/3)*C11*(1-(0.5*C11))</f>
        <v>#DIV/0!</v>
      </c>
      <c r="D15" s="9" t="s">
        <v>11</v>
      </c>
      <c r="E15" s="8" t="s">
        <v>317</v>
      </c>
      <c r="F15" s="36" t="e">
        <f>C9*(2/3)*F11*(1-(0.5*F11))</f>
        <v>#DIV/0!</v>
      </c>
      <c r="G15" s="10" t="s">
        <v>11</v>
      </c>
      <c r="I15" s="8" t="s">
        <v>323</v>
      </c>
      <c r="J15" s="36" t="e">
        <f>(J12*(0.61*C9*J6*SQRT(2*9.81*C12)*POWER(1-C7,3)))-(0.1*C9^2*POWER(J6,1.5)*C16*SQRT(2*9.81*C12*C11))</f>
        <v>#DIV/0!</v>
      </c>
      <c r="K15" s="10" t="s">
        <v>7</v>
      </c>
      <c r="L15" s="159" t="s">
        <v>507</v>
      </c>
      <c r="M15" s="8" t="s">
        <v>331</v>
      </c>
      <c r="N15" s="36" t="e">
        <f>N9*(2/3)*N11*(1-(0.5*N11))</f>
        <v>#DIV/0!</v>
      </c>
      <c r="O15" s="10" t="s">
        <v>11</v>
      </c>
    </row>
    <row r="16" spans="1:18" ht="16.2" x14ac:dyDescent="0.3">
      <c r="A16" s="6">
        <v>4</v>
      </c>
      <c r="B16" s="123" t="s">
        <v>301</v>
      </c>
      <c r="C16" s="64" t="e">
        <f>C5/SQRT(9.81*C9*C12^4)</f>
        <v>#DIV/0!</v>
      </c>
      <c r="D16" s="66" t="s">
        <v>20</v>
      </c>
      <c r="E16" s="123" t="s">
        <v>318</v>
      </c>
      <c r="F16" s="64" t="e">
        <f>F5/SQRT(9.81*C9*F12^4)</f>
        <v>#DIV/0!</v>
      </c>
      <c r="G16" s="65" t="s">
        <v>20</v>
      </c>
      <c r="H16" s="6">
        <v>68</v>
      </c>
      <c r="I16" s="8" t="s">
        <v>324</v>
      </c>
      <c r="J16" s="36" t="e">
        <f>C5-J15</f>
        <v>#DIV/0!</v>
      </c>
      <c r="K16" s="10" t="s">
        <v>7</v>
      </c>
      <c r="L16" s="76" t="s">
        <v>325</v>
      </c>
      <c r="M16" s="123" t="s">
        <v>332</v>
      </c>
      <c r="N16" s="64" t="e">
        <f>N8/SQRT(9.81*N9*N12^4)</f>
        <v>#DIV/0!</v>
      </c>
      <c r="O16" s="65" t="s">
        <v>20</v>
      </c>
    </row>
    <row r="17" spans="1:15" ht="16.8" customHeight="1" x14ac:dyDescent="0.3">
      <c r="I17" s="257" t="s">
        <v>272</v>
      </c>
      <c r="J17" s="64" t="e">
        <f>J15/F5</f>
        <v>#DIV/0!</v>
      </c>
      <c r="K17" s="65" t="s">
        <v>20</v>
      </c>
      <c r="L17" s="16" t="s">
        <v>154</v>
      </c>
    </row>
    <row r="18" spans="1:15" ht="43.2" customHeight="1" x14ac:dyDescent="0.3"/>
    <row r="20" spans="1:15" x14ac:dyDescent="0.3">
      <c r="E20" s="81"/>
      <c r="F20" s="80"/>
      <c r="M20" s="81"/>
      <c r="N20" s="80"/>
    </row>
    <row r="21" spans="1:15" x14ac:dyDescent="0.3">
      <c r="E21" s="157"/>
      <c r="F21" s="108"/>
      <c r="G21" s="82"/>
      <c r="M21" s="157"/>
      <c r="N21" s="108"/>
      <c r="O21" s="82"/>
    </row>
    <row r="22" spans="1:15" x14ac:dyDescent="0.3">
      <c r="E22" s="17"/>
      <c r="F22" s="52"/>
      <c r="M22" s="17"/>
      <c r="N22" s="52"/>
    </row>
    <row r="23" spans="1:15" x14ac:dyDescent="0.3">
      <c r="E23" s="17"/>
      <c r="F23" s="52"/>
      <c r="I23" s="17"/>
      <c r="J23" s="52"/>
      <c r="M23" s="17"/>
      <c r="N23" s="52"/>
    </row>
    <row r="24" spans="1:15" x14ac:dyDescent="0.3">
      <c r="E24" s="81"/>
      <c r="F24" s="80"/>
      <c r="I24" s="17"/>
      <c r="J24" s="52"/>
      <c r="M24" s="81"/>
      <c r="N24" s="80"/>
    </row>
    <row r="25" spans="1:15" x14ac:dyDescent="0.3">
      <c r="E25" s="17"/>
      <c r="F25" s="52"/>
      <c r="I25" s="17"/>
      <c r="J25" s="52"/>
      <c r="M25" s="17"/>
      <c r="N25" s="52"/>
    </row>
    <row r="26" spans="1:15" x14ac:dyDescent="0.3">
      <c r="E26" s="17"/>
      <c r="F26" s="52"/>
      <c r="I26" s="17"/>
      <c r="J26" s="52"/>
      <c r="M26" s="17"/>
      <c r="N26" s="52"/>
    </row>
    <row r="27" spans="1:15" x14ac:dyDescent="0.3">
      <c r="E27" s="17"/>
      <c r="F27" s="52"/>
      <c r="I27" s="17"/>
      <c r="J27" s="52"/>
      <c r="M27" s="17"/>
      <c r="N27" s="52"/>
    </row>
    <row r="28" spans="1:15" x14ac:dyDescent="0.3">
      <c r="A28" s="11"/>
      <c r="I28" s="17"/>
      <c r="J28" s="52"/>
    </row>
    <row r="29" spans="1:15" x14ac:dyDescent="0.3">
      <c r="A29" s="11"/>
    </row>
  </sheetData>
  <mergeCells count="8">
    <mergeCell ref="E7:G7"/>
    <mergeCell ref="F9:G9"/>
    <mergeCell ref="F8:G8"/>
    <mergeCell ref="M4:O4"/>
    <mergeCell ref="J5:K5"/>
    <mergeCell ref="B4:G4"/>
    <mergeCell ref="I4:K4"/>
    <mergeCell ref="E6:G6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96"/>
  <sheetViews>
    <sheetView zoomScaleNormal="100" workbookViewId="0"/>
  </sheetViews>
  <sheetFormatPr defaultColWidth="11.44140625" defaultRowHeight="13.8" x14ac:dyDescent="0.3"/>
  <cols>
    <col min="1" max="1" width="7.6640625" style="11" customWidth="1"/>
    <col min="2" max="6" width="11.44140625" style="11"/>
    <col min="7" max="8" width="11.5546875" style="11" customWidth="1"/>
    <col min="9" max="10" width="11.44140625" style="11"/>
    <col min="11" max="11" width="13.5546875" style="11" customWidth="1"/>
    <col min="12" max="12" width="11.44140625" style="11"/>
    <col min="13" max="13" width="4" style="11" customWidth="1"/>
    <col min="14" max="16384" width="11.44140625" style="11"/>
  </cols>
  <sheetData>
    <row r="1" spans="1:11" x14ac:dyDescent="0.3">
      <c r="A1" s="16" t="s">
        <v>443</v>
      </c>
    </row>
    <row r="2" spans="1:11" s="5" customFormat="1" ht="30" x14ac:dyDescent="0.3">
      <c r="A2" s="186" t="s">
        <v>478</v>
      </c>
      <c r="B2" s="152"/>
    </row>
    <row r="3" spans="1:11" s="5" customFormat="1" ht="14.4" customHeight="1" x14ac:dyDescent="0.3">
      <c r="A3" s="187"/>
      <c r="B3" s="152"/>
    </row>
    <row r="4" spans="1:11" ht="14.4" thickBot="1" x14ac:dyDescent="0.35">
      <c r="A4" s="315" t="s">
        <v>454</v>
      </c>
      <c r="B4" s="325"/>
      <c r="C4" s="316"/>
      <c r="D4" s="316"/>
      <c r="E4" s="316"/>
      <c r="F4" s="317"/>
      <c r="G4" s="247"/>
      <c r="H4" s="319" t="s">
        <v>483</v>
      </c>
      <c r="I4" s="320"/>
      <c r="J4" s="321"/>
    </row>
    <row r="5" spans="1:11" ht="16.2" x14ac:dyDescent="0.3">
      <c r="A5" s="8" t="s">
        <v>14</v>
      </c>
      <c r="B5" s="154"/>
      <c r="C5" s="9" t="s">
        <v>15</v>
      </c>
      <c r="D5" s="20"/>
      <c r="E5" s="20"/>
      <c r="F5" s="244"/>
      <c r="G5" s="205"/>
      <c r="H5" s="8" t="s">
        <v>166</v>
      </c>
      <c r="I5" s="109"/>
      <c r="J5" s="10" t="s">
        <v>51</v>
      </c>
    </row>
    <row r="6" spans="1:11" ht="16.2" thickBot="1" x14ac:dyDescent="0.35">
      <c r="A6" s="8" t="s">
        <v>137</v>
      </c>
      <c r="B6" s="19"/>
      <c r="C6" s="9" t="s">
        <v>20</v>
      </c>
      <c r="D6" s="299"/>
      <c r="E6" s="299"/>
      <c r="F6" s="300"/>
      <c r="G6" s="52"/>
      <c r="H6" s="63" t="s">
        <v>108</v>
      </c>
      <c r="I6" s="155"/>
      <c r="J6" s="65" t="s">
        <v>51</v>
      </c>
    </row>
    <row r="7" spans="1:11" ht="16.2" thickBot="1" x14ac:dyDescent="0.35">
      <c r="A7" s="8" t="s">
        <v>453</v>
      </c>
      <c r="B7" s="111"/>
      <c r="C7" s="9" t="s">
        <v>11</v>
      </c>
      <c r="D7" s="54" t="s">
        <v>104</v>
      </c>
      <c r="E7" s="140">
        <f>I14</f>
        <v>0.3</v>
      </c>
      <c r="F7" s="10" t="s">
        <v>11</v>
      </c>
      <c r="G7" s="52"/>
    </row>
    <row r="8" spans="1:11" ht="14.4" thickBot="1" x14ac:dyDescent="0.35">
      <c r="A8" s="158" t="s">
        <v>164</v>
      </c>
      <c r="B8" s="25" t="s">
        <v>274</v>
      </c>
      <c r="C8" s="120"/>
      <c r="D8" s="158" t="s">
        <v>11</v>
      </c>
      <c r="E8" s="28" t="s">
        <v>452</v>
      </c>
      <c r="F8" s="246"/>
      <c r="G8" s="52"/>
      <c r="H8" s="319" t="s">
        <v>189</v>
      </c>
      <c r="I8" s="320"/>
      <c r="J8" s="320"/>
      <c r="K8" s="321"/>
    </row>
    <row r="9" spans="1:11" ht="16.8" thickBot="1" x14ac:dyDescent="0.35">
      <c r="A9" s="8" t="s">
        <v>455</v>
      </c>
      <c r="B9" s="43"/>
      <c r="C9" s="9" t="s">
        <v>7</v>
      </c>
      <c r="D9" s="8" t="s">
        <v>462</v>
      </c>
      <c r="E9" s="43"/>
      <c r="F9" s="10" t="s">
        <v>7</v>
      </c>
      <c r="G9" s="52"/>
      <c r="H9" s="32" t="s">
        <v>184</v>
      </c>
      <c r="I9" s="249"/>
      <c r="J9" s="9" t="s">
        <v>50</v>
      </c>
      <c r="K9" s="34" t="s">
        <v>188</v>
      </c>
    </row>
    <row r="10" spans="1:11" ht="15.6" x14ac:dyDescent="0.3">
      <c r="A10" s="8" t="s">
        <v>456</v>
      </c>
      <c r="B10" s="36" t="e">
        <f>B9/(B5*SQRT(B6)*POWER(B7,8/3))</f>
        <v>#DIV/0!</v>
      </c>
      <c r="C10" s="9" t="s">
        <v>20</v>
      </c>
      <c r="D10" s="8" t="s">
        <v>463</v>
      </c>
      <c r="E10" s="36" t="e">
        <f>E9/(B5*SQRT(B6)*POWER(B7,8/3))</f>
        <v>#DIV/0!</v>
      </c>
      <c r="F10" s="10" t="s">
        <v>20</v>
      </c>
      <c r="G10" s="52"/>
      <c r="H10" s="8" t="s">
        <v>185</v>
      </c>
      <c r="I10" s="36">
        <f>I5</f>
        <v>0</v>
      </c>
      <c r="J10" s="9" t="s">
        <v>51</v>
      </c>
      <c r="K10" s="10" t="s">
        <v>173</v>
      </c>
    </row>
    <row r="11" spans="1:11" ht="16.2" thickBot="1" x14ac:dyDescent="0.35">
      <c r="A11" s="8" t="s">
        <v>457</v>
      </c>
      <c r="B11" s="36" t="e">
        <f>0.926*SQRT(1-SQRT(1-3.11*B10))</f>
        <v>#DIV/0!</v>
      </c>
      <c r="C11" s="9" t="s">
        <v>20</v>
      </c>
      <c r="D11" s="8" t="s">
        <v>468</v>
      </c>
      <c r="E11" s="36" t="e">
        <f>0.926*SQRT(1-SQRT(1-3.11*E10))</f>
        <v>#DIV/0!</v>
      </c>
      <c r="F11" s="10" t="s">
        <v>20</v>
      </c>
      <c r="G11" s="52"/>
      <c r="H11" s="8" t="s">
        <v>186</v>
      </c>
      <c r="I11" s="36">
        <f>I10*I9</f>
        <v>0</v>
      </c>
      <c r="J11" s="9" t="s">
        <v>51</v>
      </c>
      <c r="K11" s="10" t="s">
        <v>174</v>
      </c>
    </row>
    <row r="12" spans="1:11" ht="16.2" thickBot="1" x14ac:dyDescent="0.35">
      <c r="A12" s="8" t="s">
        <v>458</v>
      </c>
      <c r="B12" s="36" t="e">
        <f>B11*B7</f>
        <v>#DIV/0!</v>
      </c>
      <c r="C12" s="9" t="s">
        <v>11</v>
      </c>
      <c r="D12" s="8" t="s">
        <v>464</v>
      </c>
      <c r="E12" s="36" t="e">
        <f>E11*B7</f>
        <v>#DIV/0!</v>
      </c>
      <c r="F12" s="10" t="s">
        <v>11</v>
      </c>
      <c r="G12" s="52"/>
      <c r="H12" s="8" t="s">
        <v>175</v>
      </c>
      <c r="I12" s="43"/>
      <c r="J12" s="9" t="s">
        <v>51</v>
      </c>
      <c r="K12" s="10" t="s">
        <v>176</v>
      </c>
    </row>
    <row r="13" spans="1:11" ht="16.2" x14ac:dyDescent="0.3">
      <c r="A13" s="8" t="s">
        <v>459</v>
      </c>
      <c r="B13" s="36" t="e">
        <f>(B7^2)*(4/3)*POWER(B11,3/2)*(1-(B11/4)-((4*(B11^2))/25))</f>
        <v>#DIV/0!</v>
      </c>
      <c r="C13" s="9" t="s">
        <v>22</v>
      </c>
      <c r="D13" s="8" t="s">
        <v>465</v>
      </c>
      <c r="E13" s="36" t="e">
        <f>(B7^2)*(4/3)*POWER(E11,3/2)*(1-(E11/4)-((4*(E11^2))/25))</f>
        <v>#DIV/0!</v>
      </c>
      <c r="F13" s="10" t="s">
        <v>22</v>
      </c>
      <c r="G13" s="52"/>
      <c r="H13" s="8" t="s">
        <v>187</v>
      </c>
      <c r="I13" s="36">
        <f>SUM(I10:I12)</f>
        <v>0</v>
      </c>
      <c r="J13" s="9" t="s">
        <v>51</v>
      </c>
      <c r="K13" s="10" t="s">
        <v>177</v>
      </c>
    </row>
    <row r="14" spans="1:11" ht="15.6" x14ac:dyDescent="0.3">
      <c r="A14" s="8" t="s">
        <v>460</v>
      </c>
      <c r="B14" s="36" t="e">
        <f>B9/B13</f>
        <v>#DIV/0!</v>
      </c>
      <c r="C14" s="9" t="s">
        <v>69</v>
      </c>
      <c r="D14" s="8" t="s">
        <v>466</v>
      </c>
      <c r="E14" s="36" t="e">
        <f>E9/E13</f>
        <v>#DIV/0!</v>
      </c>
      <c r="F14" s="10" t="s">
        <v>69</v>
      </c>
      <c r="G14" s="52"/>
      <c r="H14" s="32" t="s">
        <v>178</v>
      </c>
      <c r="I14" s="36">
        <f>B7+0.3</f>
        <v>0.3</v>
      </c>
      <c r="J14" s="9" t="s">
        <v>51</v>
      </c>
      <c r="K14" s="10" t="s">
        <v>470</v>
      </c>
    </row>
    <row r="15" spans="1:11" ht="15.6" x14ac:dyDescent="0.3">
      <c r="A15" s="8" t="s">
        <v>461</v>
      </c>
      <c r="B15" s="36" t="e">
        <f>B7*(2/3)*B11*(1-(0.5*B11))</f>
        <v>#DIV/0!</v>
      </c>
      <c r="C15" s="9" t="s">
        <v>11</v>
      </c>
      <c r="D15" s="8" t="s">
        <v>467</v>
      </c>
      <c r="E15" s="36" t="e">
        <f>B7*(2/3)*E11*(1-(0.5*E11))</f>
        <v>#DIV/0!</v>
      </c>
      <c r="F15" s="10" t="s">
        <v>11</v>
      </c>
      <c r="G15" s="52"/>
      <c r="H15" s="123" t="s">
        <v>179</v>
      </c>
      <c r="I15" s="64">
        <f>0.5*(I14-B7)</f>
        <v>0.15</v>
      </c>
      <c r="J15" s="66" t="s">
        <v>51</v>
      </c>
      <c r="K15" s="65" t="s">
        <v>471</v>
      </c>
    </row>
    <row r="16" spans="1:11" ht="15.6" x14ac:dyDescent="0.3">
      <c r="A16" s="32" t="s">
        <v>469</v>
      </c>
      <c r="B16" s="36" t="e">
        <f>B9/SQRT(9.81*B7*B12^4)</f>
        <v>#DIV/0!</v>
      </c>
      <c r="C16" s="9" t="s">
        <v>20</v>
      </c>
      <c r="D16" s="32" t="s">
        <v>475</v>
      </c>
      <c r="E16" s="36" t="e">
        <f>E9/SQRT(9.81*B7*E12^4)</f>
        <v>#DIV/0!</v>
      </c>
      <c r="F16" s="10" t="s">
        <v>20</v>
      </c>
      <c r="G16" s="52"/>
    </row>
    <row r="17" spans="1:11" ht="15.6" x14ac:dyDescent="0.3">
      <c r="A17" s="8"/>
      <c r="B17" s="36"/>
      <c r="C17" s="9"/>
      <c r="D17" s="8" t="s">
        <v>477</v>
      </c>
      <c r="E17" s="36" t="e">
        <f>POWER((2*E16*E16)/(1+2*E16*E16),0.667)</f>
        <v>#DIV/0!</v>
      </c>
      <c r="F17" s="10" t="s">
        <v>20</v>
      </c>
      <c r="G17" s="52"/>
      <c r="H17" s="248" t="s">
        <v>484</v>
      </c>
      <c r="I17" s="120"/>
      <c r="J17" s="120"/>
      <c r="K17" s="245" t="s">
        <v>274</v>
      </c>
    </row>
    <row r="18" spans="1:11" ht="15.6" x14ac:dyDescent="0.3">
      <c r="A18" s="63"/>
      <c r="B18" s="64"/>
      <c r="C18" s="66"/>
      <c r="D18" s="63" t="s">
        <v>476</v>
      </c>
      <c r="E18" s="64" t="e">
        <f>E17*E12</f>
        <v>#DIV/0!</v>
      </c>
      <c r="F18" s="65" t="s">
        <v>11</v>
      </c>
      <c r="G18" s="52"/>
      <c r="H18" s="8" t="s">
        <v>472</v>
      </c>
      <c r="I18" s="36">
        <f>(5/3)*SQRT(B9/SQRT(9.81*POWER(E7,5)))</f>
        <v>0</v>
      </c>
      <c r="J18" s="9" t="s">
        <v>50</v>
      </c>
      <c r="K18" s="34" t="s">
        <v>474</v>
      </c>
    </row>
    <row r="19" spans="1:11" ht="15.6" x14ac:dyDescent="0.3">
      <c r="F19" s="17"/>
      <c r="G19" s="52"/>
      <c r="H19" s="63" t="s">
        <v>473</v>
      </c>
      <c r="I19" s="64">
        <f>I18*E7</f>
        <v>0</v>
      </c>
      <c r="J19" s="66" t="s">
        <v>51</v>
      </c>
      <c r="K19" s="65"/>
    </row>
    <row r="21" spans="1:11" ht="14.4" customHeight="1" x14ac:dyDescent="0.3">
      <c r="B21" s="322" t="s">
        <v>190</v>
      </c>
      <c r="C21" s="323"/>
      <c r="D21" s="323"/>
      <c r="E21" s="323"/>
      <c r="F21" s="323"/>
      <c r="G21" s="324"/>
      <c r="H21" s="322" t="s">
        <v>191</v>
      </c>
      <c r="I21" s="323"/>
      <c r="J21" s="324"/>
    </row>
    <row r="22" spans="1:11" ht="14.4" x14ac:dyDescent="0.3">
      <c r="A22" s="251" t="s">
        <v>166</v>
      </c>
      <c r="B22" s="46" t="s">
        <v>167</v>
      </c>
      <c r="C22" s="46" t="s">
        <v>168</v>
      </c>
      <c r="D22" s="46" t="s">
        <v>108</v>
      </c>
      <c r="E22" s="46" t="s">
        <v>169</v>
      </c>
      <c r="F22" s="46" t="s">
        <v>170</v>
      </c>
      <c r="G22" s="46" t="s">
        <v>108</v>
      </c>
      <c r="H22" s="45" t="s">
        <v>167</v>
      </c>
      <c r="I22" s="46" t="s">
        <v>168</v>
      </c>
      <c r="J22" s="48" t="s">
        <v>108</v>
      </c>
    </row>
    <row r="23" spans="1:11" ht="14.4" x14ac:dyDescent="0.3">
      <c r="A23" s="252"/>
      <c r="B23" s="250" t="s">
        <v>171</v>
      </c>
      <c r="C23" s="250" t="s">
        <v>171</v>
      </c>
      <c r="D23" s="250" t="s">
        <v>171</v>
      </c>
      <c r="E23" s="250" t="s">
        <v>172</v>
      </c>
      <c r="F23" s="250" t="s">
        <v>172</v>
      </c>
      <c r="G23" s="250" t="s">
        <v>172</v>
      </c>
      <c r="H23" s="37" t="s">
        <v>171</v>
      </c>
      <c r="I23" s="250" t="s">
        <v>171</v>
      </c>
      <c r="J23" s="213" t="s">
        <v>171</v>
      </c>
    </row>
    <row r="24" spans="1:11" x14ac:dyDescent="0.3">
      <c r="A24" s="100" t="s">
        <v>51</v>
      </c>
      <c r="B24" s="40" t="s">
        <v>50</v>
      </c>
      <c r="C24" s="40" t="s">
        <v>50</v>
      </c>
      <c r="D24" s="40" t="s">
        <v>51</v>
      </c>
      <c r="E24" s="40" t="s">
        <v>50</v>
      </c>
      <c r="F24" s="40" t="s">
        <v>51</v>
      </c>
      <c r="G24" s="40" t="s">
        <v>51</v>
      </c>
      <c r="H24" s="49" t="s">
        <v>50</v>
      </c>
      <c r="I24" s="40" t="s">
        <v>50</v>
      </c>
      <c r="J24" s="50" t="s">
        <v>51</v>
      </c>
    </row>
    <row r="25" spans="1:11" ht="14.4" thickBot="1" x14ac:dyDescent="0.35">
      <c r="A25" s="215">
        <v>0</v>
      </c>
      <c r="B25" s="52" t="e">
        <f>(A25/$E$12)*POWER($E$16,-0.8)</f>
        <v>#DIV/0!</v>
      </c>
      <c r="C25" s="52" t="e">
        <f>-(0.333*B25)-(0.25*B25*B25)</f>
        <v>#DIV/0!</v>
      </c>
      <c r="D25" s="52" t="e">
        <f>C25*$E$12</f>
        <v>#DIV/0!</v>
      </c>
      <c r="E25" s="52" t="e">
        <f>1+(0.06*B25)</f>
        <v>#DIV/0!</v>
      </c>
      <c r="F25" s="52" t="e">
        <f>E25*$E$18</f>
        <v>#DIV/0!</v>
      </c>
      <c r="G25" s="52" t="e">
        <f>D25+F25</f>
        <v>#DIV/0!</v>
      </c>
      <c r="H25" s="209" t="e">
        <f>(A25/$B$12)*POWER($B$16,-0.8)</f>
        <v>#DIV/0!</v>
      </c>
      <c r="I25" s="52" t="e">
        <f>-(0.333*H25)-(0.25*H25*H25)</f>
        <v>#DIV/0!</v>
      </c>
      <c r="J25" s="210" t="e">
        <f>I25*$B$12</f>
        <v>#DIV/0!</v>
      </c>
    </row>
    <row r="26" spans="1:11" ht="14.4" thickBot="1" x14ac:dyDescent="0.35">
      <c r="A26" s="253">
        <v>0.05</v>
      </c>
      <c r="B26" s="52" t="e">
        <f t="shared" ref="B26:B89" si="0">(A26/$E$12)*POWER($E$16,-0.8)</f>
        <v>#DIV/0!</v>
      </c>
      <c r="C26" s="52" t="e">
        <f t="shared" ref="C26:C89" si="1">-(0.333*B26)-(0.25*B26*B26)</f>
        <v>#DIV/0!</v>
      </c>
      <c r="D26" s="52" t="e">
        <f t="shared" ref="D26:D89" si="2">C26*$E$12</f>
        <v>#DIV/0!</v>
      </c>
      <c r="E26" s="52" t="e">
        <f t="shared" ref="E26:E89" si="3">1+(0.06*B26)</f>
        <v>#DIV/0!</v>
      </c>
      <c r="F26" s="52" t="e">
        <f t="shared" ref="F26:F89" si="4">E26*$E$18</f>
        <v>#DIV/0!</v>
      </c>
      <c r="G26" s="52" t="e">
        <f t="shared" ref="G26:G89" si="5">D26+F26</f>
        <v>#DIV/0!</v>
      </c>
      <c r="H26" s="209" t="e">
        <f t="shared" ref="H26:H89" si="6">(A26/$B$12)*POWER($B$16,-0.8)</f>
        <v>#DIV/0!</v>
      </c>
      <c r="I26" s="52" t="e">
        <f t="shared" ref="I26:I89" si="7">-(0.333*H26)-(0.25*H26*H26)</f>
        <v>#DIV/0!</v>
      </c>
      <c r="J26" s="210" t="e">
        <f t="shared" ref="J26:J89" si="8">I26*$B$12</f>
        <v>#DIV/0!</v>
      </c>
    </row>
    <row r="27" spans="1:11" x14ac:dyDescent="0.3">
      <c r="A27" s="215">
        <f>A26+$A$26</f>
        <v>0.1</v>
      </c>
      <c r="B27" s="52" t="e">
        <f t="shared" si="0"/>
        <v>#DIV/0!</v>
      </c>
      <c r="C27" s="52" t="e">
        <f t="shared" si="1"/>
        <v>#DIV/0!</v>
      </c>
      <c r="D27" s="52" t="e">
        <f t="shared" si="2"/>
        <v>#DIV/0!</v>
      </c>
      <c r="E27" s="52" t="e">
        <f t="shared" si="3"/>
        <v>#DIV/0!</v>
      </c>
      <c r="F27" s="52" t="e">
        <f t="shared" si="4"/>
        <v>#DIV/0!</v>
      </c>
      <c r="G27" s="52" t="e">
        <f t="shared" si="5"/>
        <v>#DIV/0!</v>
      </c>
      <c r="H27" s="209" t="e">
        <f t="shared" si="6"/>
        <v>#DIV/0!</v>
      </c>
      <c r="I27" s="52" t="e">
        <f t="shared" si="7"/>
        <v>#DIV/0!</v>
      </c>
      <c r="J27" s="210" t="e">
        <f t="shared" si="8"/>
        <v>#DIV/0!</v>
      </c>
    </row>
    <row r="28" spans="1:11" x14ac:dyDescent="0.3">
      <c r="A28" s="215">
        <f>A27+$A$26</f>
        <v>0.15000000000000002</v>
      </c>
      <c r="B28" s="52" t="e">
        <f t="shared" si="0"/>
        <v>#DIV/0!</v>
      </c>
      <c r="C28" s="52" t="e">
        <f t="shared" si="1"/>
        <v>#DIV/0!</v>
      </c>
      <c r="D28" s="52" t="e">
        <f t="shared" si="2"/>
        <v>#DIV/0!</v>
      </c>
      <c r="E28" s="52" t="e">
        <f t="shared" si="3"/>
        <v>#DIV/0!</v>
      </c>
      <c r="F28" s="52" t="e">
        <f t="shared" si="4"/>
        <v>#DIV/0!</v>
      </c>
      <c r="G28" s="52" t="e">
        <f t="shared" si="5"/>
        <v>#DIV/0!</v>
      </c>
      <c r="H28" s="209" t="e">
        <f>(A28/$B$12)*POWER($B$16,-0.8)</f>
        <v>#DIV/0!</v>
      </c>
      <c r="I28" s="52" t="e">
        <f t="shared" si="7"/>
        <v>#DIV/0!</v>
      </c>
      <c r="J28" s="210" t="e">
        <f t="shared" si="8"/>
        <v>#DIV/0!</v>
      </c>
    </row>
    <row r="29" spans="1:11" x14ac:dyDescent="0.3">
      <c r="A29" s="215">
        <f t="shared" ref="A29:A91" si="9">A28+$A$26</f>
        <v>0.2</v>
      </c>
      <c r="B29" s="52" t="e">
        <f t="shared" si="0"/>
        <v>#DIV/0!</v>
      </c>
      <c r="C29" s="52" t="e">
        <f t="shared" si="1"/>
        <v>#DIV/0!</v>
      </c>
      <c r="D29" s="52" t="e">
        <f t="shared" si="2"/>
        <v>#DIV/0!</v>
      </c>
      <c r="E29" s="52" t="e">
        <f t="shared" si="3"/>
        <v>#DIV/0!</v>
      </c>
      <c r="F29" s="52" t="e">
        <f t="shared" si="4"/>
        <v>#DIV/0!</v>
      </c>
      <c r="G29" s="52" t="e">
        <f t="shared" si="5"/>
        <v>#DIV/0!</v>
      </c>
      <c r="H29" s="209" t="e">
        <f t="shared" si="6"/>
        <v>#DIV/0!</v>
      </c>
      <c r="I29" s="52" t="e">
        <f>-(0.333*H29)-(0.25*H29*H29)</f>
        <v>#DIV/0!</v>
      </c>
      <c r="J29" s="210" t="e">
        <f t="shared" si="8"/>
        <v>#DIV/0!</v>
      </c>
    </row>
    <row r="30" spans="1:11" x14ac:dyDescent="0.3">
      <c r="A30" s="215">
        <f>A29+$A$26</f>
        <v>0.25</v>
      </c>
      <c r="B30" s="52" t="e">
        <f t="shared" si="0"/>
        <v>#DIV/0!</v>
      </c>
      <c r="C30" s="52" t="e">
        <f t="shared" si="1"/>
        <v>#DIV/0!</v>
      </c>
      <c r="D30" s="52" t="e">
        <f t="shared" si="2"/>
        <v>#DIV/0!</v>
      </c>
      <c r="E30" s="52" t="e">
        <f t="shared" si="3"/>
        <v>#DIV/0!</v>
      </c>
      <c r="F30" s="52" t="e">
        <f t="shared" si="4"/>
        <v>#DIV/0!</v>
      </c>
      <c r="G30" s="52" t="e">
        <f t="shared" si="5"/>
        <v>#DIV/0!</v>
      </c>
      <c r="H30" s="209" t="e">
        <f t="shared" si="6"/>
        <v>#DIV/0!</v>
      </c>
      <c r="I30" s="52" t="e">
        <f t="shared" si="7"/>
        <v>#DIV/0!</v>
      </c>
      <c r="J30" s="210" t="e">
        <f>I30*$B$12</f>
        <v>#DIV/0!</v>
      </c>
    </row>
    <row r="31" spans="1:11" x14ac:dyDescent="0.3">
      <c r="A31" s="215">
        <f t="shared" si="9"/>
        <v>0.3</v>
      </c>
      <c r="B31" s="52" t="e">
        <f t="shared" si="0"/>
        <v>#DIV/0!</v>
      </c>
      <c r="C31" s="52" t="e">
        <f t="shared" si="1"/>
        <v>#DIV/0!</v>
      </c>
      <c r="D31" s="52" t="e">
        <f t="shared" si="2"/>
        <v>#DIV/0!</v>
      </c>
      <c r="E31" s="52" t="e">
        <f t="shared" si="3"/>
        <v>#DIV/0!</v>
      </c>
      <c r="F31" s="52" t="e">
        <f t="shared" si="4"/>
        <v>#DIV/0!</v>
      </c>
      <c r="G31" s="52" t="e">
        <f t="shared" si="5"/>
        <v>#DIV/0!</v>
      </c>
      <c r="H31" s="209" t="e">
        <f t="shared" si="6"/>
        <v>#DIV/0!</v>
      </c>
      <c r="I31" s="52" t="e">
        <f t="shared" si="7"/>
        <v>#DIV/0!</v>
      </c>
      <c r="J31" s="210" t="e">
        <f t="shared" si="8"/>
        <v>#DIV/0!</v>
      </c>
    </row>
    <row r="32" spans="1:11" x14ac:dyDescent="0.3">
      <c r="A32" s="215">
        <f t="shared" si="9"/>
        <v>0.35</v>
      </c>
      <c r="B32" s="52" t="e">
        <f t="shared" si="0"/>
        <v>#DIV/0!</v>
      </c>
      <c r="C32" s="52" t="e">
        <f t="shared" si="1"/>
        <v>#DIV/0!</v>
      </c>
      <c r="D32" s="52" t="e">
        <f t="shared" si="2"/>
        <v>#DIV/0!</v>
      </c>
      <c r="E32" s="52" t="e">
        <f t="shared" si="3"/>
        <v>#DIV/0!</v>
      </c>
      <c r="F32" s="52" t="e">
        <f t="shared" si="4"/>
        <v>#DIV/0!</v>
      </c>
      <c r="G32" s="52" t="e">
        <f t="shared" si="5"/>
        <v>#DIV/0!</v>
      </c>
      <c r="H32" s="209" t="e">
        <f t="shared" si="6"/>
        <v>#DIV/0!</v>
      </c>
      <c r="I32" s="52" t="e">
        <f t="shared" si="7"/>
        <v>#DIV/0!</v>
      </c>
      <c r="J32" s="210" t="e">
        <f t="shared" si="8"/>
        <v>#DIV/0!</v>
      </c>
    </row>
    <row r="33" spans="1:16" x14ac:dyDescent="0.3">
      <c r="A33" s="215">
        <f t="shared" si="9"/>
        <v>0.39999999999999997</v>
      </c>
      <c r="B33" s="52" t="e">
        <f t="shared" si="0"/>
        <v>#DIV/0!</v>
      </c>
      <c r="C33" s="52" t="e">
        <f t="shared" si="1"/>
        <v>#DIV/0!</v>
      </c>
      <c r="D33" s="52" t="e">
        <f t="shared" si="2"/>
        <v>#DIV/0!</v>
      </c>
      <c r="E33" s="52" t="e">
        <f t="shared" si="3"/>
        <v>#DIV/0!</v>
      </c>
      <c r="F33" s="52" t="e">
        <f t="shared" si="4"/>
        <v>#DIV/0!</v>
      </c>
      <c r="G33" s="52" t="e">
        <f t="shared" si="5"/>
        <v>#DIV/0!</v>
      </c>
      <c r="H33" s="209" t="e">
        <f t="shared" si="6"/>
        <v>#DIV/0!</v>
      </c>
      <c r="I33" s="52" t="e">
        <f t="shared" si="7"/>
        <v>#DIV/0!</v>
      </c>
      <c r="J33" s="210" t="e">
        <f t="shared" si="8"/>
        <v>#DIV/0!</v>
      </c>
    </row>
    <row r="34" spans="1:16" x14ac:dyDescent="0.3">
      <c r="A34" s="215">
        <f t="shared" si="9"/>
        <v>0.44999999999999996</v>
      </c>
      <c r="B34" s="52" t="e">
        <f t="shared" si="0"/>
        <v>#DIV/0!</v>
      </c>
      <c r="C34" s="52" t="e">
        <f t="shared" si="1"/>
        <v>#DIV/0!</v>
      </c>
      <c r="D34" s="52" t="e">
        <f t="shared" si="2"/>
        <v>#DIV/0!</v>
      </c>
      <c r="E34" s="52" t="e">
        <f>1+(0.06*B34)</f>
        <v>#DIV/0!</v>
      </c>
      <c r="F34" s="52" t="e">
        <f t="shared" si="4"/>
        <v>#DIV/0!</v>
      </c>
      <c r="G34" s="52" t="e">
        <f t="shared" si="5"/>
        <v>#DIV/0!</v>
      </c>
      <c r="H34" s="209" t="e">
        <f t="shared" si="6"/>
        <v>#DIV/0!</v>
      </c>
      <c r="I34" s="52" t="e">
        <f t="shared" si="7"/>
        <v>#DIV/0!</v>
      </c>
      <c r="J34" s="210" t="e">
        <f t="shared" si="8"/>
        <v>#DIV/0!</v>
      </c>
    </row>
    <row r="35" spans="1:16" x14ac:dyDescent="0.3">
      <c r="A35" s="215">
        <f t="shared" si="9"/>
        <v>0.49999999999999994</v>
      </c>
      <c r="B35" s="52" t="e">
        <f t="shared" si="0"/>
        <v>#DIV/0!</v>
      </c>
      <c r="C35" s="52" t="e">
        <f t="shared" si="1"/>
        <v>#DIV/0!</v>
      </c>
      <c r="D35" s="52" t="e">
        <f t="shared" si="2"/>
        <v>#DIV/0!</v>
      </c>
      <c r="E35" s="52" t="e">
        <f t="shared" si="3"/>
        <v>#DIV/0!</v>
      </c>
      <c r="F35" s="52" t="e">
        <f t="shared" si="4"/>
        <v>#DIV/0!</v>
      </c>
      <c r="G35" s="52" t="e">
        <f t="shared" si="5"/>
        <v>#DIV/0!</v>
      </c>
      <c r="H35" s="209" t="e">
        <f t="shared" si="6"/>
        <v>#DIV/0!</v>
      </c>
      <c r="I35" s="52" t="e">
        <f t="shared" si="7"/>
        <v>#DIV/0!</v>
      </c>
      <c r="J35" s="210" t="e">
        <f t="shared" si="8"/>
        <v>#DIV/0!</v>
      </c>
    </row>
    <row r="36" spans="1:16" x14ac:dyDescent="0.3">
      <c r="A36" s="215">
        <f t="shared" si="9"/>
        <v>0.54999999999999993</v>
      </c>
      <c r="B36" s="52" t="e">
        <f t="shared" si="0"/>
        <v>#DIV/0!</v>
      </c>
      <c r="C36" s="52" t="e">
        <f t="shared" si="1"/>
        <v>#DIV/0!</v>
      </c>
      <c r="D36" s="52" t="e">
        <f t="shared" si="2"/>
        <v>#DIV/0!</v>
      </c>
      <c r="E36" s="52" t="e">
        <f t="shared" si="3"/>
        <v>#DIV/0!</v>
      </c>
      <c r="F36" s="52" t="e">
        <f t="shared" si="4"/>
        <v>#DIV/0!</v>
      </c>
      <c r="G36" s="52" t="e">
        <f t="shared" si="5"/>
        <v>#DIV/0!</v>
      </c>
      <c r="H36" s="209" t="e">
        <f t="shared" si="6"/>
        <v>#DIV/0!</v>
      </c>
      <c r="I36" s="52" t="e">
        <f t="shared" si="7"/>
        <v>#DIV/0!</v>
      </c>
      <c r="J36" s="210" t="e">
        <f t="shared" si="8"/>
        <v>#DIV/0!</v>
      </c>
    </row>
    <row r="37" spans="1:16" x14ac:dyDescent="0.3">
      <c r="A37" s="215">
        <f t="shared" si="9"/>
        <v>0.6</v>
      </c>
      <c r="B37" s="52" t="e">
        <f t="shared" si="0"/>
        <v>#DIV/0!</v>
      </c>
      <c r="C37" s="52" t="e">
        <f t="shared" si="1"/>
        <v>#DIV/0!</v>
      </c>
      <c r="D37" s="52" t="e">
        <f t="shared" si="2"/>
        <v>#DIV/0!</v>
      </c>
      <c r="E37" s="52" t="e">
        <f t="shared" si="3"/>
        <v>#DIV/0!</v>
      </c>
      <c r="F37" s="52" t="e">
        <f t="shared" si="4"/>
        <v>#DIV/0!</v>
      </c>
      <c r="G37" s="52" t="e">
        <f t="shared" si="5"/>
        <v>#DIV/0!</v>
      </c>
      <c r="H37" s="209" t="e">
        <f t="shared" si="6"/>
        <v>#DIV/0!</v>
      </c>
      <c r="I37" s="52" t="e">
        <f t="shared" si="7"/>
        <v>#DIV/0!</v>
      </c>
      <c r="J37" s="210" t="e">
        <f t="shared" si="8"/>
        <v>#DIV/0!</v>
      </c>
    </row>
    <row r="38" spans="1:16" x14ac:dyDescent="0.3">
      <c r="A38" s="215">
        <f t="shared" si="9"/>
        <v>0.65</v>
      </c>
      <c r="B38" s="52" t="e">
        <f t="shared" si="0"/>
        <v>#DIV/0!</v>
      </c>
      <c r="C38" s="52" t="e">
        <f t="shared" si="1"/>
        <v>#DIV/0!</v>
      </c>
      <c r="D38" s="52" t="e">
        <f t="shared" si="2"/>
        <v>#DIV/0!</v>
      </c>
      <c r="E38" s="52" t="e">
        <f t="shared" si="3"/>
        <v>#DIV/0!</v>
      </c>
      <c r="F38" s="52" t="e">
        <f t="shared" si="4"/>
        <v>#DIV/0!</v>
      </c>
      <c r="G38" s="52" t="e">
        <f t="shared" si="5"/>
        <v>#DIV/0!</v>
      </c>
      <c r="H38" s="209" t="e">
        <f t="shared" si="6"/>
        <v>#DIV/0!</v>
      </c>
      <c r="I38" s="52" t="e">
        <f t="shared" si="7"/>
        <v>#DIV/0!</v>
      </c>
      <c r="J38" s="210" t="e">
        <f t="shared" si="8"/>
        <v>#DIV/0!</v>
      </c>
    </row>
    <row r="39" spans="1:16" x14ac:dyDescent="0.3">
      <c r="A39" s="215">
        <f t="shared" si="9"/>
        <v>0.70000000000000007</v>
      </c>
      <c r="B39" s="52" t="e">
        <f t="shared" si="0"/>
        <v>#DIV/0!</v>
      </c>
      <c r="C39" s="52" t="e">
        <f t="shared" si="1"/>
        <v>#DIV/0!</v>
      </c>
      <c r="D39" s="52" t="e">
        <f t="shared" si="2"/>
        <v>#DIV/0!</v>
      </c>
      <c r="E39" s="52" t="e">
        <f t="shared" si="3"/>
        <v>#DIV/0!</v>
      </c>
      <c r="F39" s="52" t="e">
        <f t="shared" si="4"/>
        <v>#DIV/0!</v>
      </c>
      <c r="G39" s="52" t="e">
        <f t="shared" si="5"/>
        <v>#DIV/0!</v>
      </c>
      <c r="H39" s="209" t="e">
        <f t="shared" si="6"/>
        <v>#DIV/0!</v>
      </c>
      <c r="I39" s="52" t="e">
        <f t="shared" si="7"/>
        <v>#DIV/0!</v>
      </c>
      <c r="J39" s="210" t="e">
        <f t="shared" si="8"/>
        <v>#DIV/0!</v>
      </c>
      <c r="O39" s="38"/>
      <c r="P39" s="38"/>
    </row>
    <row r="40" spans="1:16" x14ac:dyDescent="0.3">
      <c r="A40" s="215">
        <f t="shared" si="9"/>
        <v>0.75000000000000011</v>
      </c>
      <c r="B40" s="52" t="e">
        <f t="shared" si="0"/>
        <v>#DIV/0!</v>
      </c>
      <c r="C40" s="52" t="e">
        <f t="shared" si="1"/>
        <v>#DIV/0!</v>
      </c>
      <c r="D40" s="52" t="e">
        <f t="shared" si="2"/>
        <v>#DIV/0!</v>
      </c>
      <c r="E40" s="52" t="e">
        <f t="shared" si="3"/>
        <v>#DIV/0!</v>
      </c>
      <c r="F40" s="52" t="e">
        <f t="shared" si="4"/>
        <v>#DIV/0!</v>
      </c>
      <c r="G40" s="52" t="e">
        <f t="shared" si="5"/>
        <v>#DIV/0!</v>
      </c>
      <c r="H40" s="209" t="e">
        <f t="shared" si="6"/>
        <v>#DIV/0!</v>
      </c>
      <c r="I40" s="52" t="e">
        <f t="shared" si="7"/>
        <v>#DIV/0!</v>
      </c>
      <c r="J40" s="210" t="e">
        <f t="shared" si="8"/>
        <v>#DIV/0!</v>
      </c>
    </row>
    <row r="41" spans="1:16" x14ac:dyDescent="0.3">
      <c r="A41" s="215">
        <f t="shared" si="9"/>
        <v>0.80000000000000016</v>
      </c>
      <c r="B41" s="52" t="e">
        <f t="shared" si="0"/>
        <v>#DIV/0!</v>
      </c>
      <c r="C41" s="52" t="e">
        <f t="shared" si="1"/>
        <v>#DIV/0!</v>
      </c>
      <c r="D41" s="52" t="e">
        <f t="shared" si="2"/>
        <v>#DIV/0!</v>
      </c>
      <c r="E41" s="52" t="e">
        <f t="shared" si="3"/>
        <v>#DIV/0!</v>
      </c>
      <c r="F41" s="52" t="e">
        <f t="shared" si="4"/>
        <v>#DIV/0!</v>
      </c>
      <c r="G41" s="52" t="e">
        <f t="shared" si="5"/>
        <v>#DIV/0!</v>
      </c>
      <c r="H41" s="209" t="e">
        <f t="shared" si="6"/>
        <v>#DIV/0!</v>
      </c>
      <c r="I41" s="52" t="e">
        <f t="shared" si="7"/>
        <v>#DIV/0!</v>
      </c>
      <c r="J41" s="210" t="e">
        <f t="shared" si="8"/>
        <v>#DIV/0!</v>
      </c>
    </row>
    <row r="42" spans="1:16" x14ac:dyDescent="0.3">
      <c r="A42" s="215">
        <f t="shared" si="9"/>
        <v>0.8500000000000002</v>
      </c>
      <c r="B42" s="52" t="e">
        <f>(A42/$E$12)*POWER($E$16,-0.8)</f>
        <v>#DIV/0!</v>
      </c>
      <c r="C42" s="52" t="e">
        <f t="shared" si="1"/>
        <v>#DIV/0!</v>
      </c>
      <c r="D42" s="52" t="e">
        <f t="shared" si="2"/>
        <v>#DIV/0!</v>
      </c>
      <c r="E42" s="52" t="e">
        <f t="shared" si="3"/>
        <v>#DIV/0!</v>
      </c>
      <c r="F42" s="52" t="e">
        <f t="shared" si="4"/>
        <v>#DIV/0!</v>
      </c>
      <c r="G42" s="52" t="e">
        <f t="shared" si="5"/>
        <v>#DIV/0!</v>
      </c>
      <c r="H42" s="209" t="e">
        <f t="shared" si="6"/>
        <v>#DIV/0!</v>
      </c>
      <c r="I42" s="52" t="e">
        <f t="shared" si="7"/>
        <v>#DIV/0!</v>
      </c>
      <c r="J42" s="210" t="e">
        <f t="shared" si="8"/>
        <v>#DIV/0!</v>
      </c>
    </row>
    <row r="43" spans="1:16" x14ac:dyDescent="0.3">
      <c r="A43" s="215">
        <f t="shared" si="9"/>
        <v>0.90000000000000024</v>
      </c>
      <c r="B43" s="52" t="e">
        <f t="shared" si="0"/>
        <v>#DIV/0!</v>
      </c>
      <c r="C43" s="52" t="e">
        <f>-(0.333*B43)-(0.25*B43*B43)</f>
        <v>#DIV/0!</v>
      </c>
      <c r="D43" s="52" t="e">
        <f t="shared" si="2"/>
        <v>#DIV/0!</v>
      </c>
      <c r="E43" s="52" t="e">
        <f t="shared" si="3"/>
        <v>#DIV/0!</v>
      </c>
      <c r="F43" s="52" t="e">
        <f t="shared" si="4"/>
        <v>#DIV/0!</v>
      </c>
      <c r="G43" s="52" t="e">
        <f t="shared" si="5"/>
        <v>#DIV/0!</v>
      </c>
      <c r="H43" s="209" t="e">
        <f t="shared" si="6"/>
        <v>#DIV/0!</v>
      </c>
      <c r="I43" s="52" t="e">
        <f t="shared" si="7"/>
        <v>#DIV/0!</v>
      </c>
      <c r="J43" s="210" t="e">
        <f t="shared" si="8"/>
        <v>#DIV/0!</v>
      </c>
    </row>
    <row r="44" spans="1:16" x14ac:dyDescent="0.3">
      <c r="A44" s="215">
        <f t="shared" si="9"/>
        <v>0.95000000000000029</v>
      </c>
      <c r="B44" s="52" t="e">
        <f t="shared" si="0"/>
        <v>#DIV/0!</v>
      </c>
      <c r="C44" s="52" t="e">
        <f t="shared" si="1"/>
        <v>#DIV/0!</v>
      </c>
      <c r="D44" s="52" t="e">
        <f>C44*$E$12</f>
        <v>#DIV/0!</v>
      </c>
      <c r="E44" s="52" t="e">
        <f t="shared" si="3"/>
        <v>#DIV/0!</v>
      </c>
      <c r="F44" s="52" t="e">
        <f t="shared" si="4"/>
        <v>#DIV/0!</v>
      </c>
      <c r="G44" s="52" t="e">
        <f t="shared" si="5"/>
        <v>#DIV/0!</v>
      </c>
      <c r="H44" s="209" t="e">
        <f t="shared" si="6"/>
        <v>#DIV/0!</v>
      </c>
      <c r="I44" s="52" t="e">
        <f t="shared" si="7"/>
        <v>#DIV/0!</v>
      </c>
      <c r="J44" s="210" t="e">
        <f t="shared" si="8"/>
        <v>#DIV/0!</v>
      </c>
    </row>
    <row r="45" spans="1:16" x14ac:dyDescent="0.3">
      <c r="A45" s="215">
        <f t="shared" si="9"/>
        <v>1.0000000000000002</v>
      </c>
      <c r="B45" s="52" t="e">
        <f t="shared" si="0"/>
        <v>#DIV/0!</v>
      </c>
      <c r="C45" s="52" t="e">
        <f t="shared" si="1"/>
        <v>#DIV/0!</v>
      </c>
      <c r="D45" s="52" t="e">
        <f t="shared" si="2"/>
        <v>#DIV/0!</v>
      </c>
      <c r="E45" s="52" t="e">
        <f>1+(0.06*B45)</f>
        <v>#DIV/0!</v>
      </c>
      <c r="F45" s="52" t="e">
        <f t="shared" si="4"/>
        <v>#DIV/0!</v>
      </c>
      <c r="G45" s="52" t="e">
        <f t="shared" si="5"/>
        <v>#DIV/0!</v>
      </c>
      <c r="H45" s="209" t="e">
        <f t="shared" si="6"/>
        <v>#DIV/0!</v>
      </c>
      <c r="I45" s="52" t="e">
        <f t="shared" si="7"/>
        <v>#DIV/0!</v>
      </c>
      <c r="J45" s="210" t="e">
        <f t="shared" si="8"/>
        <v>#DIV/0!</v>
      </c>
    </row>
    <row r="46" spans="1:16" x14ac:dyDescent="0.3">
      <c r="A46" s="215">
        <f t="shared" si="9"/>
        <v>1.0500000000000003</v>
      </c>
      <c r="B46" s="52" t="e">
        <f t="shared" si="0"/>
        <v>#DIV/0!</v>
      </c>
      <c r="C46" s="52" t="e">
        <f t="shared" si="1"/>
        <v>#DIV/0!</v>
      </c>
      <c r="D46" s="52" t="e">
        <f t="shared" si="2"/>
        <v>#DIV/0!</v>
      </c>
      <c r="E46" s="52" t="e">
        <f t="shared" si="3"/>
        <v>#DIV/0!</v>
      </c>
      <c r="F46" s="52" t="e">
        <f>E46*$E$18</f>
        <v>#DIV/0!</v>
      </c>
      <c r="G46" s="52" t="e">
        <f t="shared" si="5"/>
        <v>#DIV/0!</v>
      </c>
      <c r="H46" s="209" t="e">
        <f t="shared" si="6"/>
        <v>#DIV/0!</v>
      </c>
      <c r="I46" s="52" t="e">
        <f t="shared" si="7"/>
        <v>#DIV/0!</v>
      </c>
      <c r="J46" s="210" t="e">
        <f t="shared" si="8"/>
        <v>#DIV/0!</v>
      </c>
    </row>
    <row r="47" spans="1:16" x14ac:dyDescent="0.3">
      <c r="A47" s="215">
        <f t="shared" si="9"/>
        <v>1.1000000000000003</v>
      </c>
      <c r="B47" s="52" t="e">
        <f t="shared" si="0"/>
        <v>#DIV/0!</v>
      </c>
      <c r="C47" s="52" t="e">
        <f t="shared" si="1"/>
        <v>#DIV/0!</v>
      </c>
      <c r="D47" s="52" t="e">
        <f t="shared" si="2"/>
        <v>#DIV/0!</v>
      </c>
      <c r="E47" s="52" t="e">
        <f t="shared" si="3"/>
        <v>#DIV/0!</v>
      </c>
      <c r="F47" s="52" t="e">
        <f t="shared" si="4"/>
        <v>#DIV/0!</v>
      </c>
      <c r="G47" s="52" t="e">
        <f>D47+F47</f>
        <v>#DIV/0!</v>
      </c>
      <c r="H47" s="209" t="e">
        <f t="shared" si="6"/>
        <v>#DIV/0!</v>
      </c>
      <c r="I47" s="52" t="e">
        <f t="shared" si="7"/>
        <v>#DIV/0!</v>
      </c>
      <c r="J47" s="210" t="e">
        <f t="shared" si="8"/>
        <v>#DIV/0!</v>
      </c>
    </row>
    <row r="48" spans="1:16" x14ac:dyDescent="0.3">
      <c r="A48" s="215">
        <f t="shared" si="9"/>
        <v>1.1500000000000004</v>
      </c>
      <c r="B48" s="52" t="e">
        <f t="shared" si="0"/>
        <v>#DIV/0!</v>
      </c>
      <c r="C48" s="52" t="e">
        <f t="shared" si="1"/>
        <v>#DIV/0!</v>
      </c>
      <c r="D48" s="52" t="e">
        <f t="shared" si="2"/>
        <v>#DIV/0!</v>
      </c>
      <c r="E48" s="52" t="e">
        <f t="shared" si="3"/>
        <v>#DIV/0!</v>
      </c>
      <c r="F48" s="52" t="e">
        <f t="shared" si="4"/>
        <v>#DIV/0!</v>
      </c>
      <c r="G48" s="52" t="e">
        <f t="shared" si="5"/>
        <v>#DIV/0!</v>
      </c>
      <c r="H48" s="209" t="e">
        <f t="shared" si="6"/>
        <v>#DIV/0!</v>
      </c>
      <c r="I48" s="52" t="e">
        <f t="shared" si="7"/>
        <v>#DIV/0!</v>
      </c>
      <c r="J48" s="210" t="e">
        <f t="shared" si="8"/>
        <v>#DIV/0!</v>
      </c>
    </row>
    <row r="49" spans="1:18" x14ac:dyDescent="0.3">
      <c r="A49" s="215">
        <f t="shared" si="9"/>
        <v>1.2000000000000004</v>
      </c>
      <c r="B49" s="52" t="e">
        <f t="shared" si="0"/>
        <v>#DIV/0!</v>
      </c>
      <c r="C49" s="52" t="e">
        <f t="shared" si="1"/>
        <v>#DIV/0!</v>
      </c>
      <c r="D49" s="52" t="e">
        <f t="shared" si="2"/>
        <v>#DIV/0!</v>
      </c>
      <c r="E49" s="52" t="e">
        <f t="shared" si="3"/>
        <v>#DIV/0!</v>
      </c>
      <c r="F49" s="52" t="e">
        <f t="shared" si="4"/>
        <v>#DIV/0!</v>
      </c>
      <c r="G49" s="52" t="e">
        <f t="shared" si="5"/>
        <v>#DIV/0!</v>
      </c>
      <c r="H49" s="209" t="e">
        <f t="shared" si="6"/>
        <v>#DIV/0!</v>
      </c>
      <c r="I49" s="52" t="e">
        <f t="shared" si="7"/>
        <v>#DIV/0!</v>
      </c>
      <c r="J49" s="210" t="e">
        <f t="shared" si="8"/>
        <v>#DIV/0!</v>
      </c>
    </row>
    <row r="50" spans="1:18" x14ac:dyDescent="0.3">
      <c r="A50" s="215">
        <f t="shared" si="9"/>
        <v>1.2500000000000004</v>
      </c>
      <c r="B50" s="52" t="e">
        <f t="shared" si="0"/>
        <v>#DIV/0!</v>
      </c>
      <c r="C50" s="52" t="e">
        <f t="shared" si="1"/>
        <v>#DIV/0!</v>
      </c>
      <c r="D50" s="52" t="e">
        <f t="shared" si="2"/>
        <v>#DIV/0!</v>
      </c>
      <c r="E50" s="52" t="e">
        <f t="shared" si="3"/>
        <v>#DIV/0!</v>
      </c>
      <c r="F50" s="52" t="e">
        <f t="shared" si="4"/>
        <v>#DIV/0!</v>
      </c>
      <c r="G50" s="52" t="e">
        <f t="shared" si="5"/>
        <v>#DIV/0!</v>
      </c>
      <c r="H50" s="209" t="e">
        <f t="shared" si="6"/>
        <v>#DIV/0!</v>
      </c>
      <c r="I50" s="52" t="e">
        <f t="shared" si="7"/>
        <v>#DIV/0!</v>
      </c>
      <c r="J50" s="210" t="e">
        <f t="shared" si="8"/>
        <v>#DIV/0!</v>
      </c>
    </row>
    <row r="51" spans="1:18" x14ac:dyDescent="0.3">
      <c r="A51" s="215">
        <f t="shared" si="9"/>
        <v>1.3000000000000005</v>
      </c>
      <c r="B51" s="52" t="e">
        <f t="shared" si="0"/>
        <v>#DIV/0!</v>
      </c>
      <c r="C51" s="52" t="e">
        <f t="shared" si="1"/>
        <v>#DIV/0!</v>
      </c>
      <c r="D51" s="52" t="e">
        <f t="shared" si="2"/>
        <v>#DIV/0!</v>
      </c>
      <c r="E51" s="52" t="e">
        <f t="shared" si="3"/>
        <v>#DIV/0!</v>
      </c>
      <c r="F51" s="52" t="e">
        <f t="shared" si="4"/>
        <v>#DIV/0!</v>
      </c>
      <c r="G51" s="52" t="e">
        <f t="shared" si="5"/>
        <v>#DIV/0!</v>
      </c>
      <c r="H51" s="209" t="e">
        <f t="shared" si="6"/>
        <v>#DIV/0!</v>
      </c>
      <c r="I51" s="52" t="e">
        <f t="shared" si="7"/>
        <v>#DIV/0!</v>
      </c>
      <c r="J51" s="210" t="e">
        <f t="shared" si="8"/>
        <v>#DIV/0!</v>
      </c>
    </row>
    <row r="52" spans="1:18" x14ac:dyDescent="0.3">
      <c r="A52" s="215">
        <f t="shared" si="9"/>
        <v>1.3500000000000005</v>
      </c>
      <c r="B52" s="52" t="e">
        <f t="shared" si="0"/>
        <v>#DIV/0!</v>
      </c>
      <c r="C52" s="52" t="e">
        <f t="shared" si="1"/>
        <v>#DIV/0!</v>
      </c>
      <c r="D52" s="52" t="e">
        <f t="shared" si="2"/>
        <v>#DIV/0!</v>
      </c>
      <c r="E52" s="52" t="e">
        <f t="shared" si="3"/>
        <v>#DIV/0!</v>
      </c>
      <c r="F52" s="52" t="e">
        <f t="shared" si="4"/>
        <v>#DIV/0!</v>
      </c>
      <c r="G52" s="52" t="e">
        <f t="shared" si="5"/>
        <v>#DIV/0!</v>
      </c>
      <c r="H52" s="209" t="e">
        <f t="shared" si="6"/>
        <v>#DIV/0!</v>
      </c>
      <c r="I52" s="52" t="e">
        <f t="shared" si="7"/>
        <v>#DIV/0!</v>
      </c>
      <c r="J52" s="210" t="e">
        <f t="shared" si="8"/>
        <v>#DIV/0!</v>
      </c>
    </row>
    <row r="53" spans="1:18" x14ac:dyDescent="0.3">
      <c r="A53" s="215">
        <f t="shared" si="9"/>
        <v>1.4000000000000006</v>
      </c>
      <c r="B53" s="52" t="e">
        <f t="shared" si="0"/>
        <v>#DIV/0!</v>
      </c>
      <c r="C53" s="52" t="e">
        <f t="shared" si="1"/>
        <v>#DIV/0!</v>
      </c>
      <c r="D53" s="52" t="e">
        <f t="shared" si="2"/>
        <v>#DIV/0!</v>
      </c>
      <c r="E53" s="52" t="e">
        <f t="shared" si="3"/>
        <v>#DIV/0!</v>
      </c>
      <c r="F53" s="52" t="e">
        <f t="shared" si="4"/>
        <v>#DIV/0!</v>
      </c>
      <c r="G53" s="52" t="e">
        <f>D53+F53</f>
        <v>#DIV/0!</v>
      </c>
      <c r="H53" s="209" t="e">
        <f t="shared" si="6"/>
        <v>#DIV/0!</v>
      </c>
      <c r="I53" s="52" t="e">
        <f t="shared" si="7"/>
        <v>#DIV/0!</v>
      </c>
      <c r="J53" s="210" t="e">
        <f t="shared" si="8"/>
        <v>#DIV/0!</v>
      </c>
    </row>
    <row r="54" spans="1:18" x14ac:dyDescent="0.3">
      <c r="A54" s="215">
        <f t="shared" si="9"/>
        <v>1.4500000000000006</v>
      </c>
      <c r="B54" s="52" t="e">
        <f t="shared" si="0"/>
        <v>#DIV/0!</v>
      </c>
      <c r="C54" s="52" t="e">
        <f t="shared" si="1"/>
        <v>#DIV/0!</v>
      </c>
      <c r="D54" s="52" t="e">
        <f t="shared" si="2"/>
        <v>#DIV/0!</v>
      </c>
      <c r="E54" s="52" t="e">
        <f t="shared" si="3"/>
        <v>#DIV/0!</v>
      </c>
      <c r="F54" s="52" t="e">
        <f t="shared" si="4"/>
        <v>#DIV/0!</v>
      </c>
      <c r="G54" s="52" t="e">
        <f t="shared" si="5"/>
        <v>#DIV/0!</v>
      </c>
      <c r="H54" s="209" t="e">
        <f t="shared" si="6"/>
        <v>#DIV/0!</v>
      </c>
      <c r="I54" s="52" t="e">
        <f t="shared" si="7"/>
        <v>#DIV/0!</v>
      </c>
      <c r="J54" s="210" t="e">
        <f t="shared" si="8"/>
        <v>#DIV/0!</v>
      </c>
    </row>
    <row r="55" spans="1:18" x14ac:dyDescent="0.3">
      <c r="A55" s="215">
        <f t="shared" si="9"/>
        <v>1.5000000000000007</v>
      </c>
      <c r="B55" s="52" t="e">
        <f t="shared" si="0"/>
        <v>#DIV/0!</v>
      </c>
      <c r="C55" s="52" t="e">
        <f t="shared" si="1"/>
        <v>#DIV/0!</v>
      </c>
      <c r="D55" s="52" t="e">
        <f t="shared" si="2"/>
        <v>#DIV/0!</v>
      </c>
      <c r="E55" s="52" t="e">
        <f t="shared" si="3"/>
        <v>#DIV/0!</v>
      </c>
      <c r="F55" s="52" t="e">
        <f t="shared" si="4"/>
        <v>#DIV/0!</v>
      </c>
      <c r="G55" s="52" t="e">
        <f t="shared" si="5"/>
        <v>#DIV/0!</v>
      </c>
      <c r="H55" s="209" t="e">
        <f t="shared" si="6"/>
        <v>#DIV/0!</v>
      </c>
      <c r="I55" s="52" t="e">
        <f t="shared" si="7"/>
        <v>#DIV/0!</v>
      </c>
      <c r="J55" s="210" t="e">
        <f t="shared" si="8"/>
        <v>#DIV/0!</v>
      </c>
    </row>
    <row r="56" spans="1:18" x14ac:dyDescent="0.3">
      <c r="A56" s="215">
        <f t="shared" si="9"/>
        <v>1.5500000000000007</v>
      </c>
      <c r="B56" s="52" t="e">
        <f t="shared" si="0"/>
        <v>#DIV/0!</v>
      </c>
      <c r="C56" s="52" t="e">
        <f t="shared" si="1"/>
        <v>#DIV/0!</v>
      </c>
      <c r="D56" s="52" t="e">
        <f t="shared" si="2"/>
        <v>#DIV/0!</v>
      </c>
      <c r="E56" s="52" t="e">
        <f t="shared" si="3"/>
        <v>#DIV/0!</v>
      </c>
      <c r="F56" s="52" t="e">
        <f t="shared" si="4"/>
        <v>#DIV/0!</v>
      </c>
      <c r="G56" s="52" t="e">
        <f t="shared" si="5"/>
        <v>#DIV/0!</v>
      </c>
      <c r="H56" s="209" t="e">
        <f t="shared" si="6"/>
        <v>#DIV/0!</v>
      </c>
      <c r="I56" s="52" t="e">
        <f t="shared" si="7"/>
        <v>#DIV/0!</v>
      </c>
      <c r="J56" s="210" t="e">
        <f t="shared" si="8"/>
        <v>#DIV/0!</v>
      </c>
    </row>
    <row r="57" spans="1:18" x14ac:dyDescent="0.3">
      <c r="A57" s="215">
        <f t="shared" si="9"/>
        <v>1.6000000000000008</v>
      </c>
      <c r="B57" s="52" t="e">
        <f t="shared" si="0"/>
        <v>#DIV/0!</v>
      </c>
      <c r="C57" s="52" t="e">
        <f t="shared" si="1"/>
        <v>#DIV/0!</v>
      </c>
      <c r="D57" s="52" t="e">
        <f t="shared" si="2"/>
        <v>#DIV/0!</v>
      </c>
      <c r="E57" s="52" t="e">
        <f t="shared" si="3"/>
        <v>#DIV/0!</v>
      </c>
      <c r="F57" s="52" t="e">
        <f t="shared" si="4"/>
        <v>#DIV/0!</v>
      </c>
      <c r="G57" s="52" t="e">
        <f t="shared" si="5"/>
        <v>#DIV/0!</v>
      </c>
      <c r="H57" s="209" t="e">
        <f t="shared" si="6"/>
        <v>#DIV/0!</v>
      </c>
      <c r="I57" s="52" t="e">
        <f t="shared" si="7"/>
        <v>#DIV/0!</v>
      </c>
      <c r="J57" s="210" t="e">
        <f t="shared" si="8"/>
        <v>#DIV/0!</v>
      </c>
    </row>
    <row r="58" spans="1:18" x14ac:dyDescent="0.3">
      <c r="A58" s="215">
        <f t="shared" si="9"/>
        <v>1.6500000000000008</v>
      </c>
      <c r="B58" s="52" t="e">
        <f t="shared" si="0"/>
        <v>#DIV/0!</v>
      </c>
      <c r="C58" s="52" t="e">
        <f t="shared" si="1"/>
        <v>#DIV/0!</v>
      </c>
      <c r="D58" s="52" t="e">
        <f t="shared" si="2"/>
        <v>#DIV/0!</v>
      </c>
      <c r="E58" s="52" t="e">
        <f t="shared" si="3"/>
        <v>#DIV/0!</v>
      </c>
      <c r="F58" s="52" t="e">
        <f t="shared" si="4"/>
        <v>#DIV/0!</v>
      </c>
      <c r="G58" s="52" t="e">
        <f t="shared" si="5"/>
        <v>#DIV/0!</v>
      </c>
      <c r="H58" s="209" t="e">
        <f t="shared" si="6"/>
        <v>#DIV/0!</v>
      </c>
      <c r="I58" s="52" t="e">
        <f t="shared" si="7"/>
        <v>#DIV/0!</v>
      </c>
      <c r="J58" s="210" t="e">
        <f t="shared" si="8"/>
        <v>#DIV/0!</v>
      </c>
      <c r="M58" s="15"/>
      <c r="N58" s="15"/>
      <c r="O58" s="15"/>
      <c r="P58" s="15"/>
      <c r="Q58" s="15"/>
      <c r="R58" s="15"/>
    </row>
    <row r="59" spans="1:18" x14ac:dyDescent="0.3">
      <c r="A59" s="215">
        <f t="shared" si="9"/>
        <v>1.7000000000000008</v>
      </c>
      <c r="B59" s="52" t="e">
        <f t="shared" si="0"/>
        <v>#DIV/0!</v>
      </c>
      <c r="C59" s="52" t="e">
        <f t="shared" si="1"/>
        <v>#DIV/0!</v>
      </c>
      <c r="D59" s="52" t="e">
        <f t="shared" si="2"/>
        <v>#DIV/0!</v>
      </c>
      <c r="E59" s="52" t="e">
        <f t="shared" si="3"/>
        <v>#DIV/0!</v>
      </c>
      <c r="F59" s="52" t="e">
        <f t="shared" si="4"/>
        <v>#DIV/0!</v>
      </c>
      <c r="G59" s="52" t="e">
        <f t="shared" si="5"/>
        <v>#DIV/0!</v>
      </c>
      <c r="H59" s="209" t="e">
        <f t="shared" si="6"/>
        <v>#DIV/0!</v>
      </c>
      <c r="I59" s="52" t="e">
        <f t="shared" si="7"/>
        <v>#DIV/0!</v>
      </c>
      <c r="J59" s="210" t="e">
        <f t="shared" si="8"/>
        <v>#DIV/0!</v>
      </c>
      <c r="M59" s="15"/>
      <c r="N59" s="15"/>
      <c r="O59" s="15"/>
      <c r="P59" s="15"/>
      <c r="Q59" s="15"/>
      <c r="R59" s="15"/>
    </row>
    <row r="60" spans="1:18" x14ac:dyDescent="0.3">
      <c r="A60" s="215">
        <f t="shared" si="9"/>
        <v>1.7500000000000009</v>
      </c>
      <c r="B60" s="52" t="e">
        <f t="shared" si="0"/>
        <v>#DIV/0!</v>
      </c>
      <c r="C60" s="52" t="e">
        <f t="shared" si="1"/>
        <v>#DIV/0!</v>
      </c>
      <c r="D60" s="52" t="e">
        <f t="shared" si="2"/>
        <v>#DIV/0!</v>
      </c>
      <c r="E60" s="52" t="e">
        <f t="shared" si="3"/>
        <v>#DIV/0!</v>
      </c>
      <c r="F60" s="52" t="e">
        <f t="shared" si="4"/>
        <v>#DIV/0!</v>
      </c>
      <c r="G60" s="52" t="e">
        <f t="shared" si="5"/>
        <v>#DIV/0!</v>
      </c>
      <c r="H60" s="209" t="e">
        <f t="shared" si="6"/>
        <v>#DIV/0!</v>
      </c>
      <c r="I60" s="52" t="e">
        <f t="shared" si="7"/>
        <v>#DIV/0!</v>
      </c>
      <c r="J60" s="210" t="e">
        <f t="shared" si="8"/>
        <v>#DIV/0!</v>
      </c>
      <c r="M60" s="15"/>
      <c r="N60" s="15"/>
      <c r="O60" s="15"/>
      <c r="P60" s="15"/>
      <c r="Q60" s="15"/>
      <c r="R60" s="15"/>
    </row>
    <row r="61" spans="1:18" x14ac:dyDescent="0.3">
      <c r="A61" s="215">
        <f t="shared" si="9"/>
        <v>1.8000000000000009</v>
      </c>
      <c r="B61" s="52" t="e">
        <f t="shared" si="0"/>
        <v>#DIV/0!</v>
      </c>
      <c r="C61" s="52" t="e">
        <f t="shared" si="1"/>
        <v>#DIV/0!</v>
      </c>
      <c r="D61" s="52" t="e">
        <f t="shared" si="2"/>
        <v>#DIV/0!</v>
      </c>
      <c r="E61" s="52" t="e">
        <f t="shared" si="3"/>
        <v>#DIV/0!</v>
      </c>
      <c r="F61" s="52" t="e">
        <f t="shared" si="4"/>
        <v>#DIV/0!</v>
      </c>
      <c r="G61" s="52" t="e">
        <f t="shared" si="5"/>
        <v>#DIV/0!</v>
      </c>
      <c r="H61" s="209" t="e">
        <f t="shared" si="6"/>
        <v>#DIV/0!</v>
      </c>
      <c r="I61" s="52" t="e">
        <f t="shared" si="7"/>
        <v>#DIV/0!</v>
      </c>
      <c r="J61" s="210" t="e">
        <f t="shared" si="8"/>
        <v>#DIV/0!</v>
      </c>
      <c r="M61" s="205"/>
      <c r="N61" s="205"/>
      <c r="O61" s="205"/>
      <c r="P61" s="205"/>
      <c r="Q61" s="205"/>
      <c r="R61" s="205"/>
    </row>
    <row r="62" spans="1:18" x14ac:dyDescent="0.3">
      <c r="A62" s="215">
        <f t="shared" si="9"/>
        <v>1.850000000000001</v>
      </c>
      <c r="B62" s="52" t="e">
        <f t="shared" si="0"/>
        <v>#DIV/0!</v>
      </c>
      <c r="C62" s="52" t="e">
        <f t="shared" si="1"/>
        <v>#DIV/0!</v>
      </c>
      <c r="D62" s="52" t="e">
        <f t="shared" si="2"/>
        <v>#DIV/0!</v>
      </c>
      <c r="E62" s="52" t="e">
        <f t="shared" si="3"/>
        <v>#DIV/0!</v>
      </c>
      <c r="F62" s="52" t="e">
        <f t="shared" si="4"/>
        <v>#DIV/0!</v>
      </c>
      <c r="G62" s="52" t="e">
        <f t="shared" si="5"/>
        <v>#DIV/0!</v>
      </c>
      <c r="H62" s="209" t="e">
        <f t="shared" si="6"/>
        <v>#DIV/0!</v>
      </c>
      <c r="I62" s="52" t="e">
        <f t="shared" si="7"/>
        <v>#DIV/0!</v>
      </c>
      <c r="J62" s="210" t="e">
        <f t="shared" si="8"/>
        <v>#DIV/0!</v>
      </c>
    </row>
    <row r="63" spans="1:18" x14ac:dyDescent="0.3">
      <c r="A63" s="215">
        <f t="shared" si="9"/>
        <v>1.900000000000001</v>
      </c>
      <c r="B63" s="52" t="e">
        <f t="shared" si="0"/>
        <v>#DIV/0!</v>
      </c>
      <c r="C63" s="52" t="e">
        <f t="shared" si="1"/>
        <v>#DIV/0!</v>
      </c>
      <c r="D63" s="52" t="e">
        <f t="shared" si="2"/>
        <v>#DIV/0!</v>
      </c>
      <c r="E63" s="52" t="e">
        <f t="shared" si="3"/>
        <v>#DIV/0!</v>
      </c>
      <c r="F63" s="52" t="e">
        <f t="shared" si="4"/>
        <v>#DIV/0!</v>
      </c>
      <c r="G63" s="52" t="e">
        <f t="shared" si="5"/>
        <v>#DIV/0!</v>
      </c>
      <c r="H63" s="209" t="e">
        <f t="shared" si="6"/>
        <v>#DIV/0!</v>
      </c>
      <c r="I63" s="52" t="e">
        <f t="shared" si="7"/>
        <v>#DIV/0!</v>
      </c>
      <c r="J63" s="210" t="e">
        <f t="shared" si="8"/>
        <v>#DIV/0!</v>
      </c>
      <c r="O63" s="38"/>
    </row>
    <row r="64" spans="1:18" x14ac:dyDescent="0.3">
      <c r="A64" s="215">
        <f t="shared" si="9"/>
        <v>1.9500000000000011</v>
      </c>
      <c r="B64" s="52" t="e">
        <f t="shared" si="0"/>
        <v>#DIV/0!</v>
      </c>
      <c r="C64" s="52" t="e">
        <f t="shared" si="1"/>
        <v>#DIV/0!</v>
      </c>
      <c r="D64" s="52" t="e">
        <f t="shared" si="2"/>
        <v>#DIV/0!</v>
      </c>
      <c r="E64" s="52" t="e">
        <f t="shared" si="3"/>
        <v>#DIV/0!</v>
      </c>
      <c r="F64" s="52" t="e">
        <f t="shared" si="4"/>
        <v>#DIV/0!</v>
      </c>
      <c r="G64" s="52" t="e">
        <f t="shared" si="5"/>
        <v>#DIV/0!</v>
      </c>
      <c r="H64" s="209" t="e">
        <f t="shared" si="6"/>
        <v>#DIV/0!</v>
      </c>
      <c r="I64" s="52" t="e">
        <f t="shared" si="7"/>
        <v>#DIV/0!</v>
      </c>
      <c r="J64" s="210" t="e">
        <f t="shared" si="8"/>
        <v>#DIV/0!</v>
      </c>
      <c r="O64" s="15"/>
    </row>
    <row r="65" spans="1:10" x14ac:dyDescent="0.3">
      <c r="A65" s="215">
        <f t="shared" si="9"/>
        <v>2.0000000000000009</v>
      </c>
      <c r="B65" s="52" t="e">
        <f t="shared" si="0"/>
        <v>#DIV/0!</v>
      </c>
      <c r="C65" s="52" t="e">
        <f t="shared" si="1"/>
        <v>#DIV/0!</v>
      </c>
      <c r="D65" s="52" t="e">
        <f t="shared" si="2"/>
        <v>#DIV/0!</v>
      </c>
      <c r="E65" s="52" t="e">
        <f t="shared" si="3"/>
        <v>#DIV/0!</v>
      </c>
      <c r="F65" s="52" t="e">
        <f t="shared" si="4"/>
        <v>#DIV/0!</v>
      </c>
      <c r="G65" s="52" t="e">
        <f t="shared" si="5"/>
        <v>#DIV/0!</v>
      </c>
      <c r="H65" s="209" t="e">
        <f t="shared" si="6"/>
        <v>#DIV/0!</v>
      </c>
      <c r="I65" s="52" t="e">
        <f t="shared" si="7"/>
        <v>#DIV/0!</v>
      </c>
      <c r="J65" s="210" t="e">
        <f t="shared" si="8"/>
        <v>#DIV/0!</v>
      </c>
    </row>
    <row r="66" spans="1:10" x14ac:dyDescent="0.3">
      <c r="A66" s="215">
        <f t="shared" si="9"/>
        <v>2.0500000000000007</v>
      </c>
      <c r="B66" s="52" t="e">
        <f t="shared" si="0"/>
        <v>#DIV/0!</v>
      </c>
      <c r="C66" s="52" t="e">
        <f t="shared" si="1"/>
        <v>#DIV/0!</v>
      </c>
      <c r="D66" s="52" t="e">
        <f t="shared" si="2"/>
        <v>#DIV/0!</v>
      </c>
      <c r="E66" s="52" t="e">
        <f t="shared" si="3"/>
        <v>#DIV/0!</v>
      </c>
      <c r="F66" s="52" t="e">
        <f t="shared" si="4"/>
        <v>#DIV/0!</v>
      </c>
      <c r="G66" s="52" t="e">
        <f t="shared" si="5"/>
        <v>#DIV/0!</v>
      </c>
      <c r="H66" s="209" t="e">
        <f t="shared" si="6"/>
        <v>#DIV/0!</v>
      </c>
      <c r="I66" s="52" t="e">
        <f t="shared" si="7"/>
        <v>#DIV/0!</v>
      </c>
      <c r="J66" s="210" t="e">
        <f t="shared" si="8"/>
        <v>#DIV/0!</v>
      </c>
    </row>
    <row r="67" spans="1:10" x14ac:dyDescent="0.3">
      <c r="A67" s="215">
        <f t="shared" si="9"/>
        <v>2.1000000000000005</v>
      </c>
      <c r="B67" s="52" t="e">
        <f t="shared" si="0"/>
        <v>#DIV/0!</v>
      </c>
      <c r="C67" s="52" t="e">
        <f t="shared" si="1"/>
        <v>#DIV/0!</v>
      </c>
      <c r="D67" s="52" t="e">
        <f t="shared" si="2"/>
        <v>#DIV/0!</v>
      </c>
      <c r="E67" s="52" t="e">
        <f t="shared" si="3"/>
        <v>#DIV/0!</v>
      </c>
      <c r="F67" s="52" t="e">
        <f t="shared" si="4"/>
        <v>#DIV/0!</v>
      </c>
      <c r="G67" s="52" t="e">
        <f t="shared" si="5"/>
        <v>#DIV/0!</v>
      </c>
      <c r="H67" s="209" t="e">
        <f t="shared" si="6"/>
        <v>#DIV/0!</v>
      </c>
      <c r="I67" s="52" t="e">
        <f t="shared" si="7"/>
        <v>#DIV/0!</v>
      </c>
      <c r="J67" s="210" t="e">
        <f t="shared" si="8"/>
        <v>#DIV/0!</v>
      </c>
    </row>
    <row r="68" spans="1:10" x14ac:dyDescent="0.3">
      <c r="A68" s="215">
        <f t="shared" si="9"/>
        <v>2.1500000000000004</v>
      </c>
      <c r="B68" s="52" t="e">
        <f t="shared" si="0"/>
        <v>#DIV/0!</v>
      </c>
      <c r="C68" s="52" t="e">
        <f t="shared" si="1"/>
        <v>#DIV/0!</v>
      </c>
      <c r="D68" s="52" t="e">
        <f t="shared" si="2"/>
        <v>#DIV/0!</v>
      </c>
      <c r="E68" s="52" t="e">
        <f t="shared" si="3"/>
        <v>#DIV/0!</v>
      </c>
      <c r="F68" s="52" t="e">
        <f t="shared" si="4"/>
        <v>#DIV/0!</v>
      </c>
      <c r="G68" s="52" t="e">
        <f t="shared" si="5"/>
        <v>#DIV/0!</v>
      </c>
      <c r="H68" s="209" t="e">
        <f t="shared" si="6"/>
        <v>#DIV/0!</v>
      </c>
      <c r="I68" s="52" t="e">
        <f t="shared" si="7"/>
        <v>#DIV/0!</v>
      </c>
      <c r="J68" s="210" t="e">
        <f t="shared" si="8"/>
        <v>#DIV/0!</v>
      </c>
    </row>
    <row r="69" spans="1:10" x14ac:dyDescent="0.3">
      <c r="A69" s="215">
        <f t="shared" si="9"/>
        <v>2.2000000000000002</v>
      </c>
      <c r="B69" s="52" t="e">
        <f t="shared" si="0"/>
        <v>#DIV/0!</v>
      </c>
      <c r="C69" s="52" t="e">
        <f t="shared" si="1"/>
        <v>#DIV/0!</v>
      </c>
      <c r="D69" s="52" t="e">
        <f t="shared" si="2"/>
        <v>#DIV/0!</v>
      </c>
      <c r="E69" s="52" t="e">
        <f t="shared" si="3"/>
        <v>#DIV/0!</v>
      </c>
      <c r="F69" s="52" t="e">
        <f t="shared" si="4"/>
        <v>#DIV/0!</v>
      </c>
      <c r="G69" s="52" t="e">
        <f t="shared" si="5"/>
        <v>#DIV/0!</v>
      </c>
      <c r="H69" s="209" t="e">
        <f t="shared" si="6"/>
        <v>#DIV/0!</v>
      </c>
      <c r="I69" s="52" t="e">
        <f t="shared" si="7"/>
        <v>#DIV/0!</v>
      </c>
      <c r="J69" s="210" t="e">
        <f t="shared" si="8"/>
        <v>#DIV/0!</v>
      </c>
    </row>
    <row r="70" spans="1:10" x14ac:dyDescent="0.3">
      <c r="A70" s="215">
        <f t="shared" si="9"/>
        <v>2.25</v>
      </c>
      <c r="B70" s="52" t="e">
        <f t="shared" si="0"/>
        <v>#DIV/0!</v>
      </c>
      <c r="C70" s="52" t="e">
        <f t="shared" si="1"/>
        <v>#DIV/0!</v>
      </c>
      <c r="D70" s="52" t="e">
        <f t="shared" si="2"/>
        <v>#DIV/0!</v>
      </c>
      <c r="E70" s="52" t="e">
        <f t="shared" si="3"/>
        <v>#DIV/0!</v>
      </c>
      <c r="F70" s="52" t="e">
        <f t="shared" si="4"/>
        <v>#DIV/0!</v>
      </c>
      <c r="G70" s="52" t="e">
        <f t="shared" si="5"/>
        <v>#DIV/0!</v>
      </c>
      <c r="H70" s="209" t="e">
        <f t="shared" si="6"/>
        <v>#DIV/0!</v>
      </c>
      <c r="I70" s="52" t="e">
        <f t="shared" si="7"/>
        <v>#DIV/0!</v>
      </c>
      <c r="J70" s="210" t="e">
        <f t="shared" si="8"/>
        <v>#DIV/0!</v>
      </c>
    </row>
    <row r="71" spans="1:10" x14ac:dyDescent="0.3">
      <c r="A71" s="215">
        <f t="shared" si="9"/>
        <v>2.2999999999999998</v>
      </c>
      <c r="B71" s="52" t="e">
        <f t="shared" si="0"/>
        <v>#DIV/0!</v>
      </c>
      <c r="C71" s="52" t="e">
        <f t="shared" si="1"/>
        <v>#DIV/0!</v>
      </c>
      <c r="D71" s="52" t="e">
        <f t="shared" si="2"/>
        <v>#DIV/0!</v>
      </c>
      <c r="E71" s="52" t="e">
        <f t="shared" si="3"/>
        <v>#DIV/0!</v>
      </c>
      <c r="F71" s="52" t="e">
        <f t="shared" si="4"/>
        <v>#DIV/0!</v>
      </c>
      <c r="G71" s="52" t="e">
        <f t="shared" si="5"/>
        <v>#DIV/0!</v>
      </c>
      <c r="H71" s="209" t="e">
        <f t="shared" si="6"/>
        <v>#DIV/0!</v>
      </c>
      <c r="I71" s="52" t="e">
        <f t="shared" si="7"/>
        <v>#DIV/0!</v>
      </c>
      <c r="J71" s="210" t="e">
        <f t="shared" si="8"/>
        <v>#DIV/0!</v>
      </c>
    </row>
    <row r="72" spans="1:10" x14ac:dyDescent="0.3">
      <c r="A72" s="215">
        <f t="shared" si="9"/>
        <v>2.3499999999999996</v>
      </c>
      <c r="B72" s="52" t="e">
        <f t="shared" si="0"/>
        <v>#DIV/0!</v>
      </c>
      <c r="C72" s="52" t="e">
        <f t="shared" si="1"/>
        <v>#DIV/0!</v>
      </c>
      <c r="D72" s="52" t="e">
        <f t="shared" si="2"/>
        <v>#DIV/0!</v>
      </c>
      <c r="E72" s="52" t="e">
        <f t="shared" si="3"/>
        <v>#DIV/0!</v>
      </c>
      <c r="F72" s="52" t="e">
        <f t="shared" si="4"/>
        <v>#DIV/0!</v>
      </c>
      <c r="G72" s="52" t="e">
        <f t="shared" si="5"/>
        <v>#DIV/0!</v>
      </c>
      <c r="H72" s="209" t="e">
        <f t="shared" si="6"/>
        <v>#DIV/0!</v>
      </c>
      <c r="I72" s="52" t="e">
        <f t="shared" si="7"/>
        <v>#DIV/0!</v>
      </c>
      <c r="J72" s="210" t="e">
        <f t="shared" si="8"/>
        <v>#DIV/0!</v>
      </c>
    </row>
    <row r="73" spans="1:10" x14ac:dyDescent="0.3">
      <c r="A73" s="215">
        <f t="shared" si="9"/>
        <v>2.3999999999999995</v>
      </c>
      <c r="B73" s="52" t="e">
        <f t="shared" si="0"/>
        <v>#DIV/0!</v>
      </c>
      <c r="C73" s="52" t="e">
        <f t="shared" si="1"/>
        <v>#DIV/0!</v>
      </c>
      <c r="D73" s="52" t="e">
        <f t="shared" si="2"/>
        <v>#DIV/0!</v>
      </c>
      <c r="E73" s="52" t="e">
        <f t="shared" si="3"/>
        <v>#DIV/0!</v>
      </c>
      <c r="F73" s="52" t="e">
        <f t="shared" si="4"/>
        <v>#DIV/0!</v>
      </c>
      <c r="G73" s="52" t="e">
        <f t="shared" si="5"/>
        <v>#DIV/0!</v>
      </c>
      <c r="H73" s="209" t="e">
        <f t="shared" si="6"/>
        <v>#DIV/0!</v>
      </c>
      <c r="I73" s="52" t="e">
        <f t="shared" si="7"/>
        <v>#DIV/0!</v>
      </c>
      <c r="J73" s="210" t="e">
        <f t="shared" si="8"/>
        <v>#DIV/0!</v>
      </c>
    </row>
    <row r="74" spans="1:10" x14ac:dyDescent="0.3">
      <c r="A74" s="215">
        <f t="shared" si="9"/>
        <v>2.4499999999999993</v>
      </c>
      <c r="B74" s="52" t="e">
        <f t="shared" si="0"/>
        <v>#DIV/0!</v>
      </c>
      <c r="C74" s="52" t="e">
        <f t="shared" si="1"/>
        <v>#DIV/0!</v>
      </c>
      <c r="D74" s="52" t="e">
        <f t="shared" si="2"/>
        <v>#DIV/0!</v>
      </c>
      <c r="E74" s="52" t="e">
        <f t="shared" si="3"/>
        <v>#DIV/0!</v>
      </c>
      <c r="F74" s="52" t="e">
        <f t="shared" si="4"/>
        <v>#DIV/0!</v>
      </c>
      <c r="G74" s="52" t="e">
        <f t="shared" si="5"/>
        <v>#DIV/0!</v>
      </c>
      <c r="H74" s="209" t="e">
        <f t="shared" si="6"/>
        <v>#DIV/0!</v>
      </c>
      <c r="I74" s="52" t="e">
        <f t="shared" si="7"/>
        <v>#DIV/0!</v>
      </c>
      <c r="J74" s="210" t="e">
        <f t="shared" si="8"/>
        <v>#DIV/0!</v>
      </c>
    </row>
    <row r="75" spans="1:10" x14ac:dyDescent="0.3">
      <c r="A75" s="215">
        <f t="shared" si="9"/>
        <v>2.4999999999999991</v>
      </c>
      <c r="B75" s="52" t="e">
        <f t="shared" si="0"/>
        <v>#DIV/0!</v>
      </c>
      <c r="C75" s="52" t="e">
        <f t="shared" si="1"/>
        <v>#DIV/0!</v>
      </c>
      <c r="D75" s="52" t="e">
        <f t="shared" si="2"/>
        <v>#DIV/0!</v>
      </c>
      <c r="E75" s="52" t="e">
        <f t="shared" si="3"/>
        <v>#DIV/0!</v>
      </c>
      <c r="F75" s="52" t="e">
        <f t="shared" si="4"/>
        <v>#DIV/0!</v>
      </c>
      <c r="G75" s="52" t="e">
        <f t="shared" si="5"/>
        <v>#DIV/0!</v>
      </c>
      <c r="H75" s="209" t="e">
        <f t="shared" si="6"/>
        <v>#DIV/0!</v>
      </c>
      <c r="I75" s="52" t="e">
        <f t="shared" si="7"/>
        <v>#DIV/0!</v>
      </c>
      <c r="J75" s="210" t="e">
        <f t="shared" si="8"/>
        <v>#DIV/0!</v>
      </c>
    </row>
    <row r="76" spans="1:10" x14ac:dyDescent="0.3">
      <c r="A76" s="215">
        <f t="shared" si="9"/>
        <v>2.5499999999999989</v>
      </c>
      <c r="B76" s="52" t="e">
        <f t="shared" si="0"/>
        <v>#DIV/0!</v>
      </c>
      <c r="C76" s="52" t="e">
        <f t="shared" si="1"/>
        <v>#DIV/0!</v>
      </c>
      <c r="D76" s="52" t="e">
        <f t="shared" si="2"/>
        <v>#DIV/0!</v>
      </c>
      <c r="E76" s="52" t="e">
        <f t="shared" si="3"/>
        <v>#DIV/0!</v>
      </c>
      <c r="F76" s="52" t="e">
        <f t="shared" si="4"/>
        <v>#DIV/0!</v>
      </c>
      <c r="G76" s="52" t="e">
        <f t="shared" si="5"/>
        <v>#DIV/0!</v>
      </c>
      <c r="H76" s="209" t="e">
        <f t="shared" si="6"/>
        <v>#DIV/0!</v>
      </c>
      <c r="I76" s="52" t="e">
        <f t="shared" si="7"/>
        <v>#DIV/0!</v>
      </c>
      <c r="J76" s="210" t="e">
        <f t="shared" si="8"/>
        <v>#DIV/0!</v>
      </c>
    </row>
    <row r="77" spans="1:10" x14ac:dyDescent="0.3">
      <c r="A77" s="215">
        <f t="shared" si="9"/>
        <v>2.5999999999999988</v>
      </c>
      <c r="B77" s="52" t="e">
        <f t="shared" si="0"/>
        <v>#DIV/0!</v>
      </c>
      <c r="C77" s="52" t="e">
        <f t="shared" si="1"/>
        <v>#DIV/0!</v>
      </c>
      <c r="D77" s="52" t="e">
        <f t="shared" si="2"/>
        <v>#DIV/0!</v>
      </c>
      <c r="E77" s="52" t="e">
        <f t="shared" si="3"/>
        <v>#DIV/0!</v>
      </c>
      <c r="F77" s="52" t="e">
        <f t="shared" si="4"/>
        <v>#DIV/0!</v>
      </c>
      <c r="G77" s="52" t="e">
        <f t="shared" si="5"/>
        <v>#DIV/0!</v>
      </c>
      <c r="H77" s="209" t="e">
        <f t="shared" si="6"/>
        <v>#DIV/0!</v>
      </c>
      <c r="I77" s="52" t="e">
        <f t="shared" si="7"/>
        <v>#DIV/0!</v>
      </c>
      <c r="J77" s="210" t="e">
        <f t="shared" si="8"/>
        <v>#DIV/0!</v>
      </c>
    </row>
    <row r="78" spans="1:10" x14ac:dyDescent="0.3">
      <c r="A78" s="215">
        <f t="shared" si="9"/>
        <v>2.6499999999999986</v>
      </c>
      <c r="B78" s="52" t="e">
        <f t="shared" si="0"/>
        <v>#DIV/0!</v>
      </c>
      <c r="C78" s="52" t="e">
        <f t="shared" si="1"/>
        <v>#DIV/0!</v>
      </c>
      <c r="D78" s="52" t="e">
        <f t="shared" si="2"/>
        <v>#DIV/0!</v>
      </c>
      <c r="E78" s="52" t="e">
        <f t="shared" si="3"/>
        <v>#DIV/0!</v>
      </c>
      <c r="F78" s="52" t="e">
        <f t="shared" si="4"/>
        <v>#DIV/0!</v>
      </c>
      <c r="G78" s="52" t="e">
        <f t="shared" si="5"/>
        <v>#DIV/0!</v>
      </c>
      <c r="H78" s="209" t="e">
        <f t="shared" si="6"/>
        <v>#DIV/0!</v>
      </c>
      <c r="I78" s="52" t="e">
        <f t="shared" si="7"/>
        <v>#DIV/0!</v>
      </c>
      <c r="J78" s="210" t="e">
        <f t="shared" si="8"/>
        <v>#DIV/0!</v>
      </c>
    </row>
    <row r="79" spans="1:10" x14ac:dyDescent="0.3">
      <c r="A79" s="215">
        <f t="shared" si="9"/>
        <v>2.6999999999999984</v>
      </c>
      <c r="B79" s="52" t="e">
        <f t="shared" si="0"/>
        <v>#DIV/0!</v>
      </c>
      <c r="C79" s="52" t="e">
        <f t="shared" si="1"/>
        <v>#DIV/0!</v>
      </c>
      <c r="D79" s="52" t="e">
        <f t="shared" si="2"/>
        <v>#DIV/0!</v>
      </c>
      <c r="E79" s="52" t="e">
        <f t="shared" si="3"/>
        <v>#DIV/0!</v>
      </c>
      <c r="F79" s="52" t="e">
        <f t="shared" si="4"/>
        <v>#DIV/0!</v>
      </c>
      <c r="G79" s="52" t="e">
        <f t="shared" si="5"/>
        <v>#DIV/0!</v>
      </c>
      <c r="H79" s="209" t="e">
        <f t="shared" si="6"/>
        <v>#DIV/0!</v>
      </c>
      <c r="I79" s="52" t="e">
        <f t="shared" si="7"/>
        <v>#DIV/0!</v>
      </c>
      <c r="J79" s="210" t="e">
        <f t="shared" si="8"/>
        <v>#DIV/0!</v>
      </c>
    </row>
    <row r="80" spans="1:10" x14ac:dyDescent="0.3">
      <c r="A80" s="215">
        <f t="shared" si="9"/>
        <v>2.7499999999999982</v>
      </c>
      <c r="B80" s="52" t="e">
        <f t="shared" si="0"/>
        <v>#DIV/0!</v>
      </c>
      <c r="C80" s="52" t="e">
        <f t="shared" si="1"/>
        <v>#DIV/0!</v>
      </c>
      <c r="D80" s="52" t="e">
        <f t="shared" si="2"/>
        <v>#DIV/0!</v>
      </c>
      <c r="E80" s="52" t="e">
        <f t="shared" si="3"/>
        <v>#DIV/0!</v>
      </c>
      <c r="F80" s="52" t="e">
        <f t="shared" si="4"/>
        <v>#DIV/0!</v>
      </c>
      <c r="G80" s="52" t="e">
        <f t="shared" si="5"/>
        <v>#DIV/0!</v>
      </c>
      <c r="H80" s="209" t="e">
        <f t="shared" si="6"/>
        <v>#DIV/0!</v>
      </c>
      <c r="I80" s="52" t="e">
        <f t="shared" si="7"/>
        <v>#DIV/0!</v>
      </c>
      <c r="J80" s="210" t="e">
        <f t="shared" si="8"/>
        <v>#DIV/0!</v>
      </c>
    </row>
    <row r="81" spans="1:10" x14ac:dyDescent="0.3">
      <c r="A81" s="215">
        <f t="shared" si="9"/>
        <v>2.799999999999998</v>
      </c>
      <c r="B81" s="52" t="e">
        <f t="shared" si="0"/>
        <v>#DIV/0!</v>
      </c>
      <c r="C81" s="52" t="e">
        <f t="shared" si="1"/>
        <v>#DIV/0!</v>
      </c>
      <c r="D81" s="52" t="e">
        <f t="shared" si="2"/>
        <v>#DIV/0!</v>
      </c>
      <c r="E81" s="52" t="e">
        <f t="shared" si="3"/>
        <v>#DIV/0!</v>
      </c>
      <c r="F81" s="52" t="e">
        <f t="shared" si="4"/>
        <v>#DIV/0!</v>
      </c>
      <c r="G81" s="52" t="e">
        <f t="shared" si="5"/>
        <v>#DIV/0!</v>
      </c>
      <c r="H81" s="209" t="e">
        <f t="shared" si="6"/>
        <v>#DIV/0!</v>
      </c>
      <c r="I81" s="52" t="e">
        <f t="shared" si="7"/>
        <v>#DIV/0!</v>
      </c>
      <c r="J81" s="210" t="e">
        <f t="shared" si="8"/>
        <v>#DIV/0!</v>
      </c>
    </row>
    <row r="82" spans="1:10" x14ac:dyDescent="0.3">
      <c r="A82" s="215">
        <f t="shared" si="9"/>
        <v>2.8499999999999979</v>
      </c>
      <c r="B82" s="52" t="e">
        <f t="shared" si="0"/>
        <v>#DIV/0!</v>
      </c>
      <c r="C82" s="52" t="e">
        <f t="shared" si="1"/>
        <v>#DIV/0!</v>
      </c>
      <c r="D82" s="52" t="e">
        <f t="shared" si="2"/>
        <v>#DIV/0!</v>
      </c>
      <c r="E82" s="52" t="e">
        <f t="shared" si="3"/>
        <v>#DIV/0!</v>
      </c>
      <c r="F82" s="52" t="e">
        <f t="shared" si="4"/>
        <v>#DIV/0!</v>
      </c>
      <c r="G82" s="52" t="e">
        <f t="shared" si="5"/>
        <v>#DIV/0!</v>
      </c>
      <c r="H82" s="209" t="e">
        <f t="shared" si="6"/>
        <v>#DIV/0!</v>
      </c>
      <c r="I82" s="52" t="e">
        <f t="shared" si="7"/>
        <v>#DIV/0!</v>
      </c>
      <c r="J82" s="210" t="e">
        <f t="shared" si="8"/>
        <v>#DIV/0!</v>
      </c>
    </row>
    <row r="83" spans="1:10" x14ac:dyDescent="0.3">
      <c r="A83" s="215">
        <f t="shared" si="9"/>
        <v>2.8999999999999977</v>
      </c>
      <c r="B83" s="52" t="e">
        <f t="shared" si="0"/>
        <v>#DIV/0!</v>
      </c>
      <c r="C83" s="52" t="e">
        <f t="shared" si="1"/>
        <v>#DIV/0!</v>
      </c>
      <c r="D83" s="52" t="e">
        <f t="shared" si="2"/>
        <v>#DIV/0!</v>
      </c>
      <c r="E83" s="52" t="e">
        <f t="shared" si="3"/>
        <v>#DIV/0!</v>
      </c>
      <c r="F83" s="52" t="e">
        <f t="shared" si="4"/>
        <v>#DIV/0!</v>
      </c>
      <c r="G83" s="52" t="e">
        <f t="shared" si="5"/>
        <v>#DIV/0!</v>
      </c>
      <c r="H83" s="209" t="e">
        <f t="shared" si="6"/>
        <v>#DIV/0!</v>
      </c>
      <c r="I83" s="52" t="e">
        <f t="shared" si="7"/>
        <v>#DIV/0!</v>
      </c>
      <c r="J83" s="210" t="e">
        <f t="shared" si="8"/>
        <v>#DIV/0!</v>
      </c>
    </row>
    <row r="84" spans="1:10" x14ac:dyDescent="0.3">
      <c r="A84" s="215">
        <f t="shared" si="9"/>
        <v>2.9499999999999975</v>
      </c>
      <c r="B84" s="52" t="e">
        <f t="shared" si="0"/>
        <v>#DIV/0!</v>
      </c>
      <c r="C84" s="52" t="e">
        <f t="shared" si="1"/>
        <v>#DIV/0!</v>
      </c>
      <c r="D84" s="52" t="e">
        <f t="shared" si="2"/>
        <v>#DIV/0!</v>
      </c>
      <c r="E84" s="52" t="e">
        <f t="shared" si="3"/>
        <v>#DIV/0!</v>
      </c>
      <c r="F84" s="52" t="e">
        <f t="shared" si="4"/>
        <v>#DIV/0!</v>
      </c>
      <c r="G84" s="52" t="e">
        <f t="shared" si="5"/>
        <v>#DIV/0!</v>
      </c>
      <c r="H84" s="209" t="e">
        <f t="shared" si="6"/>
        <v>#DIV/0!</v>
      </c>
      <c r="I84" s="52" t="e">
        <f t="shared" si="7"/>
        <v>#DIV/0!</v>
      </c>
      <c r="J84" s="210" t="e">
        <f t="shared" si="8"/>
        <v>#DIV/0!</v>
      </c>
    </row>
    <row r="85" spans="1:10" x14ac:dyDescent="0.3">
      <c r="A85" s="215">
        <f t="shared" si="9"/>
        <v>2.9999999999999973</v>
      </c>
      <c r="B85" s="52" t="e">
        <f t="shared" si="0"/>
        <v>#DIV/0!</v>
      </c>
      <c r="C85" s="52" t="e">
        <f t="shared" si="1"/>
        <v>#DIV/0!</v>
      </c>
      <c r="D85" s="52" t="e">
        <f t="shared" si="2"/>
        <v>#DIV/0!</v>
      </c>
      <c r="E85" s="52" t="e">
        <f t="shared" si="3"/>
        <v>#DIV/0!</v>
      </c>
      <c r="F85" s="52" t="e">
        <f t="shared" si="4"/>
        <v>#DIV/0!</v>
      </c>
      <c r="G85" s="52" t="e">
        <f t="shared" si="5"/>
        <v>#DIV/0!</v>
      </c>
      <c r="H85" s="209" t="e">
        <f t="shared" si="6"/>
        <v>#DIV/0!</v>
      </c>
      <c r="I85" s="52" t="e">
        <f t="shared" si="7"/>
        <v>#DIV/0!</v>
      </c>
      <c r="J85" s="210" t="e">
        <f t="shared" si="8"/>
        <v>#DIV/0!</v>
      </c>
    </row>
    <row r="86" spans="1:10" x14ac:dyDescent="0.3">
      <c r="A86" s="215">
        <f t="shared" si="9"/>
        <v>3.0499999999999972</v>
      </c>
      <c r="B86" s="52" t="e">
        <f t="shared" si="0"/>
        <v>#DIV/0!</v>
      </c>
      <c r="C86" s="52" t="e">
        <f t="shared" si="1"/>
        <v>#DIV/0!</v>
      </c>
      <c r="D86" s="52" t="e">
        <f t="shared" si="2"/>
        <v>#DIV/0!</v>
      </c>
      <c r="E86" s="52" t="e">
        <f t="shared" si="3"/>
        <v>#DIV/0!</v>
      </c>
      <c r="F86" s="52" t="e">
        <f t="shared" si="4"/>
        <v>#DIV/0!</v>
      </c>
      <c r="G86" s="52" t="e">
        <f t="shared" si="5"/>
        <v>#DIV/0!</v>
      </c>
      <c r="H86" s="209" t="e">
        <f t="shared" si="6"/>
        <v>#DIV/0!</v>
      </c>
      <c r="I86" s="52" t="e">
        <f t="shared" si="7"/>
        <v>#DIV/0!</v>
      </c>
      <c r="J86" s="210" t="e">
        <f t="shared" si="8"/>
        <v>#DIV/0!</v>
      </c>
    </row>
    <row r="87" spans="1:10" x14ac:dyDescent="0.3">
      <c r="A87" s="215">
        <f t="shared" si="9"/>
        <v>3.099999999999997</v>
      </c>
      <c r="B87" s="52" t="e">
        <f t="shared" si="0"/>
        <v>#DIV/0!</v>
      </c>
      <c r="C87" s="52" t="e">
        <f t="shared" si="1"/>
        <v>#DIV/0!</v>
      </c>
      <c r="D87" s="52" t="e">
        <f t="shared" si="2"/>
        <v>#DIV/0!</v>
      </c>
      <c r="E87" s="52" t="e">
        <f t="shared" si="3"/>
        <v>#DIV/0!</v>
      </c>
      <c r="F87" s="52" t="e">
        <f t="shared" si="4"/>
        <v>#DIV/0!</v>
      </c>
      <c r="G87" s="52" t="e">
        <f t="shared" si="5"/>
        <v>#DIV/0!</v>
      </c>
      <c r="H87" s="209" t="e">
        <f t="shared" si="6"/>
        <v>#DIV/0!</v>
      </c>
      <c r="I87" s="52" t="e">
        <f t="shared" si="7"/>
        <v>#DIV/0!</v>
      </c>
      <c r="J87" s="210" t="e">
        <f t="shared" si="8"/>
        <v>#DIV/0!</v>
      </c>
    </row>
    <row r="88" spans="1:10" x14ac:dyDescent="0.3">
      <c r="A88" s="215">
        <f t="shared" si="9"/>
        <v>3.1499999999999968</v>
      </c>
      <c r="B88" s="52" t="e">
        <f t="shared" si="0"/>
        <v>#DIV/0!</v>
      </c>
      <c r="C88" s="52" t="e">
        <f t="shared" si="1"/>
        <v>#DIV/0!</v>
      </c>
      <c r="D88" s="52" t="e">
        <f t="shared" si="2"/>
        <v>#DIV/0!</v>
      </c>
      <c r="E88" s="52" t="e">
        <f t="shared" si="3"/>
        <v>#DIV/0!</v>
      </c>
      <c r="F88" s="52" t="e">
        <f t="shared" si="4"/>
        <v>#DIV/0!</v>
      </c>
      <c r="G88" s="52" t="e">
        <f t="shared" si="5"/>
        <v>#DIV/0!</v>
      </c>
      <c r="H88" s="209" t="e">
        <f t="shared" si="6"/>
        <v>#DIV/0!</v>
      </c>
      <c r="I88" s="52" t="e">
        <f t="shared" si="7"/>
        <v>#DIV/0!</v>
      </c>
      <c r="J88" s="210" t="e">
        <f t="shared" si="8"/>
        <v>#DIV/0!</v>
      </c>
    </row>
    <row r="89" spans="1:10" x14ac:dyDescent="0.3">
      <c r="A89" s="215">
        <f t="shared" si="9"/>
        <v>3.1999999999999966</v>
      </c>
      <c r="B89" s="52" t="e">
        <f t="shared" si="0"/>
        <v>#DIV/0!</v>
      </c>
      <c r="C89" s="52" t="e">
        <f t="shared" si="1"/>
        <v>#DIV/0!</v>
      </c>
      <c r="D89" s="52" t="e">
        <f t="shared" si="2"/>
        <v>#DIV/0!</v>
      </c>
      <c r="E89" s="52" t="e">
        <f t="shared" si="3"/>
        <v>#DIV/0!</v>
      </c>
      <c r="F89" s="52" t="e">
        <f t="shared" si="4"/>
        <v>#DIV/0!</v>
      </c>
      <c r="G89" s="52" t="e">
        <f t="shared" si="5"/>
        <v>#DIV/0!</v>
      </c>
      <c r="H89" s="209" t="e">
        <f t="shared" si="6"/>
        <v>#DIV/0!</v>
      </c>
      <c r="I89" s="52" t="e">
        <f t="shared" si="7"/>
        <v>#DIV/0!</v>
      </c>
      <c r="J89" s="210" t="e">
        <f t="shared" si="8"/>
        <v>#DIV/0!</v>
      </c>
    </row>
    <row r="90" spans="1:10" x14ac:dyDescent="0.3">
      <c r="A90" s="215">
        <f t="shared" si="9"/>
        <v>3.2499999999999964</v>
      </c>
      <c r="B90" s="52" t="e">
        <f t="shared" ref="B90:B95" si="10">(A90/$E$12)*POWER($E$16,-0.8)</f>
        <v>#DIV/0!</v>
      </c>
      <c r="C90" s="52" t="e">
        <f t="shared" ref="C90:C95" si="11">-(0.333*B90)-(0.25*B90*B90)</f>
        <v>#DIV/0!</v>
      </c>
      <c r="D90" s="52" t="e">
        <f t="shared" ref="D90:D95" si="12">C90*$E$12</f>
        <v>#DIV/0!</v>
      </c>
      <c r="E90" s="52" t="e">
        <f t="shared" ref="E90:E95" si="13">1+(0.06*B90)</f>
        <v>#DIV/0!</v>
      </c>
      <c r="F90" s="52" t="e">
        <f t="shared" ref="F90:F95" si="14">E90*$E$18</f>
        <v>#DIV/0!</v>
      </c>
      <c r="G90" s="52" t="e">
        <f t="shared" ref="G90:G95" si="15">D90+F90</f>
        <v>#DIV/0!</v>
      </c>
      <c r="H90" s="209" t="e">
        <f t="shared" ref="H90:H95" si="16">(A90/$B$12)*POWER($B$16,-0.8)</f>
        <v>#DIV/0!</v>
      </c>
      <c r="I90" s="52" t="e">
        <f t="shared" ref="I90:I95" si="17">-(0.333*H90)-(0.25*H90*H90)</f>
        <v>#DIV/0!</v>
      </c>
      <c r="J90" s="210" t="e">
        <f t="shared" ref="J90:J95" si="18">I90*$B$12</f>
        <v>#DIV/0!</v>
      </c>
    </row>
    <row r="91" spans="1:10" x14ac:dyDescent="0.3">
      <c r="A91" s="215">
        <f t="shared" si="9"/>
        <v>3.2999999999999963</v>
      </c>
      <c r="B91" s="52" t="e">
        <f t="shared" si="10"/>
        <v>#DIV/0!</v>
      </c>
      <c r="C91" s="52" t="e">
        <f t="shared" si="11"/>
        <v>#DIV/0!</v>
      </c>
      <c r="D91" s="52" t="e">
        <f t="shared" si="12"/>
        <v>#DIV/0!</v>
      </c>
      <c r="E91" s="52" t="e">
        <f t="shared" si="13"/>
        <v>#DIV/0!</v>
      </c>
      <c r="F91" s="52" t="e">
        <f t="shared" si="14"/>
        <v>#DIV/0!</v>
      </c>
      <c r="G91" s="52" t="e">
        <f t="shared" si="15"/>
        <v>#DIV/0!</v>
      </c>
      <c r="H91" s="209" t="e">
        <f t="shared" si="16"/>
        <v>#DIV/0!</v>
      </c>
      <c r="I91" s="52" t="e">
        <f t="shared" si="17"/>
        <v>#DIV/0!</v>
      </c>
      <c r="J91" s="210" t="e">
        <f t="shared" si="18"/>
        <v>#DIV/0!</v>
      </c>
    </row>
    <row r="92" spans="1:10" x14ac:dyDescent="0.3">
      <c r="A92" s="215">
        <f t="shared" ref="A92:A95" si="19">A91+$A$26</f>
        <v>3.3499999999999961</v>
      </c>
      <c r="B92" s="52" t="e">
        <f t="shared" si="10"/>
        <v>#DIV/0!</v>
      </c>
      <c r="C92" s="52" t="e">
        <f t="shared" si="11"/>
        <v>#DIV/0!</v>
      </c>
      <c r="D92" s="52" t="e">
        <f t="shared" si="12"/>
        <v>#DIV/0!</v>
      </c>
      <c r="E92" s="52" t="e">
        <f t="shared" si="13"/>
        <v>#DIV/0!</v>
      </c>
      <c r="F92" s="52" t="e">
        <f t="shared" si="14"/>
        <v>#DIV/0!</v>
      </c>
      <c r="G92" s="52" t="e">
        <f t="shared" si="15"/>
        <v>#DIV/0!</v>
      </c>
      <c r="H92" s="209" t="e">
        <f t="shared" si="16"/>
        <v>#DIV/0!</v>
      </c>
      <c r="I92" s="52" t="e">
        <f t="shared" si="17"/>
        <v>#DIV/0!</v>
      </c>
      <c r="J92" s="210" t="e">
        <f t="shared" si="18"/>
        <v>#DIV/0!</v>
      </c>
    </row>
    <row r="93" spans="1:10" x14ac:dyDescent="0.3">
      <c r="A93" s="215">
        <f t="shared" si="19"/>
        <v>3.3999999999999959</v>
      </c>
      <c r="B93" s="52" t="e">
        <f t="shared" si="10"/>
        <v>#DIV/0!</v>
      </c>
      <c r="C93" s="52" t="e">
        <f t="shared" si="11"/>
        <v>#DIV/0!</v>
      </c>
      <c r="D93" s="52" t="e">
        <f t="shared" si="12"/>
        <v>#DIV/0!</v>
      </c>
      <c r="E93" s="52" t="e">
        <f t="shared" si="13"/>
        <v>#DIV/0!</v>
      </c>
      <c r="F93" s="52" t="e">
        <f t="shared" si="14"/>
        <v>#DIV/0!</v>
      </c>
      <c r="G93" s="52" t="e">
        <f t="shared" si="15"/>
        <v>#DIV/0!</v>
      </c>
      <c r="H93" s="209" t="e">
        <f t="shared" si="16"/>
        <v>#DIV/0!</v>
      </c>
      <c r="I93" s="52" t="e">
        <f t="shared" si="17"/>
        <v>#DIV/0!</v>
      </c>
      <c r="J93" s="210" t="e">
        <f t="shared" si="18"/>
        <v>#DIV/0!</v>
      </c>
    </row>
    <row r="94" spans="1:10" x14ac:dyDescent="0.3">
      <c r="A94" s="215">
        <f t="shared" si="19"/>
        <v>3.4499999999999957</v>
      </c>
      <c r="B94" s="52" t="e">
        <f t="shared" si="10"/>
        <v>#DIV/0!</v>
      </c>
      <c r="C94" s="52" t="e">
        <f t="shared" si="11"/>
        <v>#DIV/0!</v>
      </c>
      <c r="D94" s="52" t="e">
        <f t="shared" si="12"/>
        <v>#DIV/0!</v>
      </c>
      <c r="E94" s="52" t="e">
        <f t="shared" si="13"/>
        <v>#DIV/0!</v>
      </c>
      <c r="F94" s="52" t="e">
        <f t="shared" si="14"/>
        <v>#DIV/0!</v>
      </c>
      <c r="G94" s="52" t="e">
        <f t="shared" si="15"/>
        <v>#DIV/0!</v>
      </c>
      <c r="H94" s="209" t="e">
        <f t="shared" si="16"/>
        <v>#DIV/0!</v>
      </c>
      <c r="I94" s="52" t="e">
        <f t="shared" si="17"/>
        <v>#DIV/0!</v>
      </c>
      <c r="J94" s="210" t="e">
        <f t="shared" si="18"/>
        <v>#DIV/0!</v>
      </c>
    </row>
    <row r="95" spans="1:10" x14ac:dyDescent="0.3">
      <c r="A95" s="228">
        <f t="shared" si="19"/>
        <v>3.4999999999999956</v>
      </c>
      <c r="B95" s="68" t="e">
        <f t="shared" si="10"/>
        <v>#DIV/0!</v>
      </c>
      <c r="C95" s="68" t="e">
        <f t="shared" si="11"/>
        <v>#DIV/0!</v>
      </c>
      <c r="D95" s="68" t="e">
        <f t="shared" si="12"/>
        <v>#DIV/0!</v>
      </c>
      <c r="E95" s="68" t="e">
        <f t="shared" si="13"/>
        <v>#DIV/0!</v>
      </c>
      <c r="F95" s="68" t="e">
        <f t="shared" si="14"/>
        <v>#DIV/0!</v>
      </c>
      <c r="G95" s="68" t="e">
        <f t="shared" si="15"/>
        <v>#DIV/0!</v>
      </c>
      <c r="H95" s="211" t="e">
        <f t="shared" si="16"/>
        <v>#DIV/0!</v>
      </c>
      <c r="I95" s="68" t="e">
        <f t="shared" si="17"/>
        <v>#DIV/0!</v>
      </c>
      <c r="J95" s="212" t="e">
        <f t="shared" si="18"/>
        <v>#DIV/0!</v>
      </c>
    </row>
    <row r="96" spans="1:10" x14ac:dyDescent="0.3">
      <c r="A96" s="52"/>
    </row>
  </sheetData>
  <mergeCells count="6">
    <mergeCell ref="H8:K8"/>
    <mergeCell ref="B21:G21"/>
    <mergeCell ref="H21:J21"/>
    <mergeCell ref="H4:J4"/>
    <mergeCell ref="A4:F4"/>
    <mergeCell ref="D6:F6"/>
  </mergeCells>
  <pageMargins left="0.7" right="0.7" top="0.78740157499999996" bottom="0.78740157499999996" header="0.3" footer="0.3"/>
  <pageSetup paperSize="9" orientation="portrait" horizontalDpi="0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8E9A44-FC4E-4CB4-94AF-18D76F55DA0C}">
  <dimension ref="A1:J59"/>
  <sheetViews>
    <sheetView workbookViewId="0"/>
  </sheetViews>
  <sheetFormatPr defaultColWidth="9.109375" defaultRowHeight="13.8" x14ac:dyDescent="0.3"/>
  <cols>
    <col min="1" max="1" width="51.33203125" style="11" customWidth="1"/>
    <col min="2" max="2" width="7.33203125" style="6" customWidth="1"/>
    <col min="3" max="3" width="9.109375" style="11"/>
    <col min="4" max="4" width="9.109375" style="16"/>
    <col min="5" max="16384" width="9.109375" style="11"/>
  </cols>
  <sheetData>
    <row r="1" spans="1:5" x14ac:dyDescent="0.3">
      <c r="A1" s="16" t="s">
        <v>443</v>
      </c>
    </row>
    <row r="2" spans="1:5" s="5" customFormat="1" ht="30" x14ac:dyDescent="0.3">
      <c r="A2" s="186" t="s">
        <v>491</v>
      </c>
      <c r="B2" s="152"/>
    </row>
    <row r="4" spans="1:5" ht="16.2" thickBot="1" x14ac:dyDescent="0.35">
      <c r="A4" s="267" t="s">
        <v>354</v>
      </c>
    </row>
    <row r="5" spans="1:5" ht="15.6" x14ac:dyDescent="0.3">
      <c r="A5" s="6" t="s">
        <v>355</v>
      </c>
      <c r="B5" s="17" t="s">
        <v>180</v>
      </c>
      <c r="C5" s="154"/>
      <c r="D5" s="16" t="s">
        <v>50</v>
      </c>
      <c r="E5" s="11" t="s">
        <v>482</v>
      </c>
    </row>
    <row r="6" spans="1:5" ht="16.2" x14ac:dyDescent="0.3">
      <c r="A6" s="6" t="s">
        <v>422</v>
      </c>
      <c r="B6" s="17" t="s">
        <v>124</v>
      </c>
      <c r="C6" s="276"/>
      <c r="D6" s="16" t="s">
        <v>181</v>
      </c>
    </row>
    <row r="7" spans="1:5" ht="16.2" x14ac:dyDescent="0.3">
      <c r="A7" s="6" t="s">
        <v>357</v>
      </c>
      <c r="B7" s="17" t="s">
        <v>6</v>
      </c>
      <c r="C7" s="110"/>
      <c r="D7" s="16" t="s">
        <v>53</v>
      </c>
    </row>
    <row r="8" spans="1:5" ht="15.6" x14ac:dyDescent="0.3">
      <c r="A8" s="6" t="s">
        <v>381</v>
      </c>
      <c r="B8" s="17" t="s">
        <v>382</v>
      </c>
      <c r="C8" s="110"/>
      <c r="D8" s="16" t="s">
        <v>51</v>
      </c>
    </row>
    <row r="9" spans="1:5" ht="15.6" x14ac:dyDescent="0.3">
      <c r="A9" s="6" t="s">
        <v>358</v>
      </c>
      <c r="B9" s="17" t="s">
        <v>423</v>
      </c>
      <c r="C9" s="110"/>
      <c r="D9" s="16" t="s">
        <v>51</v>
      </c>
    </row>
    <row r="10" spans="1:5" ht="16.2" thickBot="1" x14ac:dyDescent="0.35">
      <c r="A10" s="6" t="s">
        <v>360</v>
      </c>
      <c r="B10" s="17" t="s">
        <v>361</v>
      </c>
      <c r="C10" s="155"/>
      <c r="D10" s="16" t="s">
        <v>51</v>
      </c>
      <c r="E10" s="11" t="s">
        <v>485</v>
      </c>
    </row>
    <row r="12" spans="1:5" ht="16.2" x14ac:dyDescent="0.3">
      <c r="A12" s="267" t="s">
        <v>362</v>
      </c>
      <c r="C12" s="45" t="s">
        <v>144</v>
      </c>
      <c r="D12" s="234" t="s">
        <v>363</v>
      </c>
    </row>
    <row r="13" spans="1:5" ht="14.4" thickBot="1" x14ac:dyDescent="0.35">
      <c r="C13" s="235" t="s">
        <v>51</v>
      </c>
      <c r="D13" s="263" t="s">
        <v>51</v>
      </c>
    </row>
    <row r="14" spans="1:5" ht="14.4" thickBot="1" x14ac:dyDescent="0.35">
      <c r="C14" s="262"/>
      <c r="D14" s="264" t="e">
        <f>POWER(($C$8*C14)/($C$8+2*C14),2/3)</f>
        <v>#DIV/0!</v>
      </c>
      <c r="E14" s="11" t="s">
        <v>486</v>
      </c>
    </row>
    <row r="15" spans="1:5" x14ac:dyDescent="0.3">
      <c r="C15" s="209" t="e">
        <f>$C$7/($C$8*$C$6*D14*SQRT($C$5))</f>
        <v>#DIV/0!</v>
      </c>
      <c r="D15" s="210" t="e">
        <f t="shared" ref="D15:D20" si="0">POWER(($C$8*C15)/($C$8+2*C15),2/3)</f>
        <v>#DIV/0!</v>
      </c>
    </row>
    <row r="16" spans="1:5" x14ac:dyDescent="0.3">
      <c r="C16" s="209" t="e">
        <f t="shared" ref="C16:C19" si="1">$C$7/($C$8*$C$6*D15*SQRT($C$5))</f>
        <v>#DIV/0!</v>
      </c>
      <c r="D16" s="210" t="e">
        <f t="shared" si="0"/>
        <v>#DIV/0!</v>
      </c>
    </row>
    <row r="17" spans="1:6" x14ac:dyDescent="0.3">
      <c r="C17" s="209" t="e">
        <f t="shared" si="1"/>
        <v>#DIV/0!</v>
      </c>
      <c r="D17" s="210" t="e">
        <f t="shared" si="0"/>
        <v>#DIV/0!</v>
      </c>
    </row>
    <row r="18" spans="1:6" x14ac:dyDescent="0.3">
      <c r="C18" s="209" t="e">
        <f t="shared" si="1"/>
        <v>#DIV/0!</v>
      </c>
      <c r="D18" s="210" t="e">
        <f t="shared" si="0"/>
        <v>#DIV/0!</v>
      </c>
    </row>
    <row r="19" spans="1:6" x14ac:dyDescent="0.3">
      <c r="C19" s="209" t="e">
        <f t="shared" si="1"/>
        <v>#DIV/0!</v>
      </c>
      <c r="D19" s="210" t="e">
        <f t="shared" si="0"/>
        <v>#DIV/0!</v>
      </c>
    </row>
    <row r="20" spans="1:6" x14ac:dyDescent="0.3">
      <c r="C20" s="211" t="e">
        <f>$C$7/($C$8*$C$6*D19*SQRT($C$5))</f>
        <v>#DIV/0!</v>
      </c>
      <c r="D20" s="212" t="e">
        <f t="shared" si="0"/>
        <v>#DIV/0!</v>
      </c>
    </row>
    <row r="21" spans="1:6" ht="15.6" x14ac:dyDescent="0.3">
      <c r="A21" s="6" t="s">
        <v>493</v>
      </c>
      <c r="B21" s="17" t="s">
        <v>144</v>
      </c>
      <c r="C21" s="52" t="e">
        <f>$C$7/($C$8*$C$6*D20*SQRT($C$5))</f>
        <v>#DIV/0!</v>
      </c>
      <c r="D21" s="30" t="s">
        <v>51</v>
      </c>
      <c r="E21" s="11" t="s">
        <v>487</v>
      </c>
    </row>
    <row r="22" spans="1:6" ht="15.6" x14ac:dyDescent="0.3">
      <c r="A22" s="6" t="s">
        <v>364</v>
      </c>
      <c r="B22" s="17" t="s">
        <v>182</v>
      </c>
      <c r="C22" s="52" t="e">
        <f>C21/C9</f>
        <v>#DIV/0!</v>
      </c>
      <c r="D22" s="30" t="s">
        <v>50</v>
      </c>
    </row>
    <row r="23" spans="1:6" ht="15.6" x14ac:dyDescent="0.3">
      <c r="A23" s="6" t="s">
        <v>365</v>
      </c>
      <c r="B23" s="17" t="s">
        <v>489</v>
      </c>
      <c r="C23" s="52">
        <f>IF(C5&lt;0.0125,0.92-30*C5,0.55)</f>
        <v>0.92</v>
      </c>
      <c r="D23" s="30" t="s">
        <v>50</v>
      </c>
      <c r="E23" s="11" t="s">
        <v>495</v>
      </c>
    </row>
    <row r="24" spans="1:6" ht="15.6" x14ac:dyDescent="0.3">
      <c r="A24" s="6" t="s">
        <v>366</v>
      </c>
      <c r="B24" s="17" t="s">
        <v>367</v>
      </c>
      <c r="C24" s="52" t="e">
        <f>C7/(C8*C21)</f>
        <v>#DIV/0!</v>
      </c>
      <c r="D24" s="30" t="s">
        <v>368</v>
      </c>
    </row>
    <row r="25" spans="1:6" ht="15.6" x14ac:dyDescent="0.3">
      <c r="A25" s="6" t="s">
        <v>369</v>
      </c>
      <c r="B25" s="17" t="s">
        <v>370</v>
      </c>
      <c r="C25" s="52" t="e">
        <f>C21+(C24^2/(2*9.81))</f>
        <v>#DIV/0!</v>
      </c>
      <c r="D25" s="30" t="s">
        <v>51</v>
      </c>
    </row>
    <row r="26" spans="1:6" ht="15.6" x14ac:dyDescent="0.3">
      <c r="A26" s="6" t="s">
        <v>494</v>
      </c>
      <c r="B26" s="17" t="s">
        <v>183</v>
      </c>
      <c r="C26" s="261" t="e">
        <f>$C$7/(C8*C21*SQRT(9.81*C21))</f>
        <v>#DIV/0!</v>
      </c>
      <c r="D26" s="16" t="s">
        <v>50</v>
      </c>
      <c r="E26" s="270" t="s">
        <v>490</v>
      </c>
      <c r="F26" s="266">
        <v>0.75</v>
      </c>
    </row>
    <row r="28" spans="1:6" ht="15.6" x14ac:dyDescent="0.3">
      <c r="A28" s="267" t="s">
        <v>424</v>
      </c>
      <c r="B28" s="271" t="s">
        <v>380</v>
      </c>
      <c r="C28" s="214">
        <f>C45+C35+C8+C36+C37</f>
        <v>0</v>
      </c>
      <c r="D28" s="238" t="s">
        <v>51</v>
      </c>
      <c r="E28" s="16" t="s">
        <v>509</v>
      </c>
      <c r="F28" s="11" t="s">
        <v>512</v>
      </c>
    </row>
    <row r="29" spans="1:6" ht="15.6" x14ac:dyDescent="0.3">
      <c r="A29" s="267"/>
      <c r="B29" s="78" t="s">
        <v>308</v>
      </c>
      <c r="C29" s="52">
        <f>(1/7)*(C8+C37)</f>
        <v>0</v>
      </c>
      <c r="D29" s="239" t="s">
        <v>51</v>
      </c>
      <c r="E29" s="16" t="s">
        <v>510</v>
      </c>
    </row>
    <row r="30" spans="1:6" ht="15.6" x14ac:dyDescent="0.3">
      <c r="B30" s="78" t="s">
        <v>378</v>
      </c>
      <c r="C30" s="52">
        <f>C45+C35+C36+C29</f>
        <v>0</v>
      </c>
      <c r="D30" s="239" t="s">
        <v>51</v>
      </c>
      <c r="E30" s="16" t="s">
        <v>511</v>
      </c>
      <c r="F30" s="52"/>
    </row>
    <row r="31" spans="1:6" ht="15.6" x14ac:dyDescent="0.3">
      <c r="B31" s="78" t="s">
        <v>376</v>
      </c>
      <c r="C31" s="52">
        <f>C30+C29</f>
        <v>0</v>
      </c>
      <c r="D31" s="239" t="s">
        <v>51</v>
      </c>
      <c r="E31" s="16" t="s">
        <v>513</v>
      </c>
      <c r="F31" s="52"/>
    </row>
    <row r="32" spans="1:6" ht="15.6" x14ac:dyDescent="0.3">
      <c r="B32" s="78" t="s">
        <v>374</v>
      </c>
      <c r="C32" s="52">
        <f>C30+3*C29</f>
        <v>0</v>
      </c>
      <c r="D32" s="239" t="s">
        <v>51</v>
      </c>
      <c r="E32" s="16" t="s">
        <v>514</v>
      </c>
      <c r="F32" s="52"/>
    </row>
    <row r="33" spans="1:10" ht="15.6" x14ac:dyDescent="0.3">
      <c r="B33" s="273" t="s">
        <v>372</v>
      </c>
      <c r="C33" s="68">
        <f>C30+5*C29</f>
        <v>0</v>
      </c>
      <c r="D33" s="240" t="s">
        <v>51</v>
      </c>
      <c r="E33" s="16" t="s">
        <v>515</v>
      </c>
      <c r="F33" s="52"/>
    </row>
    <row r="34" spans="1:10" ht="14.4" thickBot="1" x14ac:dyDescent="0.35"/>
    <row r="35" spans="1:10" ht="14.4" x14ac:dyDescent="0.3">
      <c r="A35" s="6" t="s">
        <v>425</v>
      </c>
      <c r="B35" s="17" t="s">
        <v>426</v>
      </c>
      <c r="C35" s="109"/>
      <c r="D35" s="16" t="s">
        <v>51</v>
      </c>
      <c r="E35" s="6"/>
      <c r="F35" s="266"/>
      <c r="G35" s="270"/>
      <c r="H35" s="266"/>
    </row>
    <row r="36" spans="1:10" ht="14.4" x14ac:dyDescent="0.3">
      <c r="A36" s="6" t="s">
        <v>427</v>
      </c>
      <c r="B36" s="17" t="s">
        <v>428</v>
      </c>
      <c r="C36" s="110"/>
      <c r="D36" s="16" t="s">
        <v>51</v>
      </c>
      <c r="E36" s="6"/>
      <c r="F36" s="266"/>
      <c r="G36" s="270"/>
      <c r="H36" s="266"/>
      <c r="J36" s="52"/>
    </row>
    <row r="37" spans="1:10" ht="15" thickBot="1" x14ac:dyDescent="0.35">
      <c r="A37" s="6" t="s">
        <v>429</v>
      </c>
      <c r="B37" s="17" t="s">
        <v>175</v>
      </c>
      <c r="C37" s="155"/>
      <c r="D37" s="16" t="s">
        <v>51</v>
      </c>
      <c r="E37" s="6"/>
      <c r="F37" s="266"/>
      <c r="G37" s="270"/>
      <c r="H37" s="266"/>
      <c r="J37" s="52"/>
    </row>
    <row r="38" spans="1:10" ht="14.4" x14ac:dyDescent="0.3">
      <c r="A38" s="6"/>
      <c r="B38" s="17"/>
      <c r="C38" s="52"/>
      <c r="E38" s="16"/>
      <c r="G38" s="270"/>
      <c r="H38" s="266"/>
    </row>
    <row r="39" spans="1:10" ht="15.6" x14ac:dyDescent="0.3">
      <c r="A39" s="6"/>
      <c r="B39" s="17" t="s">
        <v>430</v>
      </c>
      <c r="C39" s="84" t="e">
        <f>C46/C28</f>
        <v>#DIV/0!</v>
      </c>
      <c r="D39" s="16" t="s">
        <v>50</v>
      </c>
      <c r="E39" s="241" t="s">
        <v>516</v>
      </c>
      <c r="F39" s="266"/>
      <c r="G39" s="270"/>
      <c r="H39" s="266"/>
    </row>
    <row r="40" spans="1:10" ht="15.6" x14ac:dyDescent="0.3">
      <c r="A40" s="6"/>
      <c r="B40" s="17" t="s">
        <v>431</v>
      </c>
      <c r="C40" s="84">
        <f>C46/6</f>
        <v>0</v>
      </c>
      <c r="D40" s="16" t="s">
        <v>50</v>
      </c>
      <c r="E40" s="241" t="s">
        <v>432</v>
      </c>
    </row>
    <row r="41" spans="1:10" ht="15.6" x14ac:dyDescent="0.3">
      <c r="A41" s="6" t="s">
        <v>496</v>
      </c>
      <c r="B41" s="17" t="s">
        <v>152</v>
      </c>
      <c r="C41" s="80" t="e">
        <f>(C7*(C28*C45/C8))/SQRT((2*9.81*C28*C45^5)/C8)</f>
        <v>#DIV/0!</v>
      </c>
      <c r="D41" s="16" t="s">
        <v>51</v>
      </c>
      <c r="E41" s="11" t="s">
        <v>433</v>
      </c>
      <c r="F41" s="227" t="s">
        <v>517</v>
      </c>
    </row>
    <row r="43" spans="1:10" ht="15.6" x14ac:dyDescent="0.3">
      <c r="A43" s="267" t="s">
        <v>390</v>
      </c>
    </row>
    <row r="44" spans="1:10" ht="16.2" thickBot="1" x14ac:dyDescent="0.35">
      <c r="A44" s="6" t="s">
        <v>434</v>
      </c>
      <c r="B44" s="17" t="s">
        <v>435</v>
      </c>
      <c r="C44" s="52" t="e">
        <f>POWER(C7/(4*SQRT(5*9.81/C8)),1/3)</f>
        <v>#DIV/0!</v>
      </c>
      <c r="D44" s="16" t="s">
        <v>51</v>
      </c>
      <c r="E44" s="11" t="s">
        <v>436</v>
      </c>
    </row>
    <row r="45" spans="1:10" ht="16.2" thickBot="1" x14ac:dyDescent="0.35">
      <c r="A45" s="6" t="s">
        <v>437</v>
      </c>
      <c r="B45" s="17" t="s">
        <v>438</v>
      </c>
      <c r="C45" s="43"/>
      <c r="D45" s="16" t="s">
        <v>51</v>
      </c>
      <c r="E45" s="11" t="s">
        <v>499</v>
      </c>
    </row>
    <row r="46" spans="1:10" ht="15.6" x14ac:dyDescent="0.3">
      <c r="A46" s="6" t="s">
        <v>439</v>
      </c>
      <c r="B46" s="17" t="s">
        <v>440</v>
      </c>
      <c r="C46" s="52">
        <f>2*C45</f>
        <v>0</v>
      </c>
      <c r="D46" s="16" t="s">
        <v>51</v>
      </c>
    </row>
    <row r="47" spans="1:10" ht="15.6" x14ac:dyDescent="0.3">
      <c r="A47" s="6" t="s">
        <v>398</v>
      </c>
      <c r="B47" s="17" t="s">
        <v>399</v>
      </c>
      <c r="C47" s="52" t="e">
        <f>((1.5*POWER(C6,1.2))/9.81)*POWER(C7/(PI()*C46),0.8)</f>
        <v>#DIV/0!</v>
      </c>
      <c r="D47" s="16" t="s">
        <v>51</v>
      </c>
      <c r="E47" s="11" t="s">
        <v>400</v>
      </c>
    </row>
    <row r="48" spans="1:10" ht="15.6" x14ac:dyDescent="0.3">
      <c r="A48" s="6" t="s">
        <v>401</v>
      </c>
      <c r="B48" s="17" t="s">
        <v>402</v>
      </c>
      <c r="C48" s="52" t="e">
        <f>POWER(C6,0.6)*POWER(C7/(PI()*C46),0.4)</f>
        <v>#DIV/0!</v>
      </c>
      <c r="D48" s="16" t="s">
        <v>368</v>
      </c>
      <c r="E48" s="11" t="s">
        <v>403</v>
      </c>
    </row>
    <row r="49" spans="1:8" ht="16.2" x14ac:dyDescent="0.3">
      <c r="A49" s="6" t="s">
        <v>404</v>
      </c>
      <c r="B49" s="17" t="s">
        <v>405</v>
      </c>
      <c r="C49" s="52" t="e">
        <f>IF(C10&gt;C47,C48,C48*SQRT(TANH(C10/(C47/3))))</f>
        <v>#DIV/0!</v>
      </c>
      <c r="D49" s="16" t="s">
        <v>368</v>
      </c>
      <c r="E49" s="11" t="s">
        <v>406</v>
      </c>
      <c r="H49" s="274"/>
    </row>
    <row r="50" spans="1:8" ht="14.4" x14ac:dyDescent="0.3">
      <c r="A50" s="6" t="s">
        <v>407</v>
      </c>
      <c r="B50" s="17" t="s">
        <v>272</v>
      </c>
      <c r="C50" s="52" t="e">
        <f>(C25+C10-(C49^2/(2*9.81)))/(C25+C10)</f>
        <v>#DIV/0!</v>
      </c>
      <c r="D50" s="16" t="s">
        <v>50</v>
      </c>
    </row>
    <row r="51" spans="1:8" ht="16.8" thickBot="1" x14ac:dyDescent="0.35">
      <c r="A51" s="6" t="s">
        <v>408</v>
      </c>
      <c r="B51" s="17" t="s">
        <v>409</v>
      </c>
      <c r="C51" s="52">
        <f>0.0141*C6*POWER(C10,1/3)*POWER(C46,7/3)</f>
        <v>0</v>
      </c>
      <c r="D51" s="16" t="s">
        <v>53</v>
      </c>
    </row>
    <row r="52" spans="1:8" ht="16.2" thickBot="1" x14ac:dyDescent="0.35">
      <c r="A52" s="6" t="s">
        <v>410</v>
      </c>
      <c r="B52" s="17" t="s">
        <v>411</v>
      </c>
      <c r="C52" s="265"/>
      <c r="D52" s="16" t="s">
        <v>368</v>
      </c>
      <c r="E52" s="6" t="s">
        <v>490</v>
      </c>
      <c r="F52" s="11" t="s">
        <v>412</v>
      </c>
    </row>
    <row r="53" spans="1:8" ht="15.6" x14ac:dyDescent="0.3">
      <c r="A53" s="6" t="s">
        <v>497</v>
      </c>
      <c r="B53" s="17" t="s">
        <v>413</v>
      </c>
      <c r="C53" s="52" t="e">
        <f>SQRT((4*C51)/(C52*PI()))</f>
        <v>#DIV/0!</v>
      </c>
      <c r="D53" s="16" t="s">
        <v>51</v>
      </c>
    </row>
    <row r="55" spans="1:8" ht="14.4" thickBot="1" x14ac:dyDescent="0.35">
      <c r="A55" s="82" t="s">
        <v>414</v>
      </c>
    </row>
    <row r="56" spans="1:8" ht="16.2" thickBot="1" x14ac:dyDescent="0.35">
      <c r="A56" s="6" t="s">
        <v>415</v>
      </c>
      <c r="B56" s="17" t="s">
        <v>416</v>
      </c>
      <c r="C56" s="43"/>
      <c r="D56" s="16" t="s">
        <v>51</v>
      </c>
      <c r="E56" s="11" t="s">
        <v>502</v>
      </c>
    </row>
    <row r="57" spans="1:8" ht="15.6" x14ac:dyDescent="0.3">
      <c r="A57" s="6" t="s">
        <v>417</v>
      </c>
      <c r="B57" s="17" t="s">
        <v>418</v>
      </c>
      <c r="C57" s="52">
        <f>C46*4</f>
        <v>0</v>
      </c>
      <c r="D57" s="16" t="s">
        <v>51</v>
      </c>
    </row>
    <row r="58" spans="1:8" ht="15.6" x14ac:dyDescent="0.3">
      <c r="A58" s="6" t="s">
        <v>178</v>
      </c>
      <c r="B58" s="17" t="s">
        <v>419</v>
      </c>
      <c r="C58" s="52">
        <f>C46*1.2</f>
        <v>0</v>
      </c>
      <c r="D58" s="16" t="s">
        <v>51</v>
      </c>
      <c r="E58" s="6" t="s">
        <v>498</v>
      </c>
      <c r="F58" s="52">
        <f>MAX($C$46,$C$56)</f>
        <v>0</v>
      </c>
      <c r="G58" s="16" t="s">
        <v>51</v>
      </c>
    </row>
    <row r="59" spans="1:8" ht="15.6" x14ac:dyDescent="0.3">
      <c r="A59" s="6" t="s">
        <v>420</v>
      </c>
      <c r="B59" s="17" t="s">
        <v>421</v>
      </c>
      <c r="C59" s="52">
        <f>C46*2</f>
        <v>0</v>
      </c>
      <c r="D59" s="16" t="s">
        <v>51</v>
      </c>
    </row>
  </sheetData>
  <conditionalFormatting sqref="C26">
    <cfRule type="cellIs" dxfId="1" priority="1" operator="between">
      <formula>0.75</formula>
      <formula>1.5</formula>
    </cfRule>
  </conditionalFormatting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F3643A-AA77-4BC1-8C77-47C8F96C39CF}">
  <dimension ref="A1:K57"/>
  <sheetViews>
    <sheetView workbookViewId="0"/>
  </sheetViews>
  <sheetFormatPr defaultColWidth="9.109375" defaultRowHeight="13.8" x14ac:dyDescent="0.3"/>
  <cols>
    <col min="1" max="1" width="51.33203125" style="11" customWidth="1"/>
    <col min="2" max="2" width="7.33203125" style="6" customWidth="1"/>
    <col min="3" max="3" width="9.109375" style="11"/>
    <col min="4" max="4" width="9.109375" style="16"/>
    <col min="5" max="16384" width="9.109375" style="11"/>
  </cols>
  <sheetData>
    <row r="1" spans="1:5" x14ac:dyDescent="0.3">
      <c r="A1" s="16" t="s">
        <v>443</v>
      </c>
    </row>
    <row r="2" spans="1:5" s="5" customFormat="1" ht="30" x14ac:dyDescent="0.3">
      <c r="A2" s="186" t="s">
        <v>492</v>
      </c>
      <c r="B2" s="152"/>
    </row>
    <row r="4" spans="1:5" ht="16.2" thickBot="1" x14ac:dyDescent="0.35">
      <c r="A4" s="267" t="s">
        <v>354</v>
      </c>
    </row>
    <row r="5" spans="1:5" ht="15.6" x14ac:dyDescent="0.3">
      <c r="A5" s="6" t="s">
        <v>355</v>
      </c>
      <c r="B5" s="268" t="s">
        <v>488</v>
      </c>
      <c r="C5" s="154"/>
      <c r="D5" s="16" t="s">
        <v>50</v>
      </c>
      <c r="E5" s="11" t="s">
        <v>482</v>
      </c>
    </row>
    <row r="6" spans="1:5" ht="16.2" x14ac:dyDescent="0.3">
      <c r="A6" s="6" t="s">
        <v>356</v>
      </c>
      <c r="B6" s="17" t="s">
        <v>124</v>
      </c>
      <c r="C6" s="19"/>
      <c r="D6" s="16" t="s">
        <v>181</v>
      </c>
    </row>
    <row r="7" spans="1:5" ht="16.2" x14ac:dyDescent="0.3">
      <c r="A7" s="6" t="s">
        <v>357</v>
      </c>
      <c r="B7" s="17" t="s">
        <v>6</v>
      </c>
      <c r="C7" s="110"/>
      <c r="D7" s="16" t="s">
        <v>53</v>
      </c>
    </row>
    <row r="8" spans="1:5" ht="15.6" x14ac:dyDescent="0.3">
      <c r="A8" s="6" t="s">
        <v>381</v>
      </c>
      <c r="B8" s="17" t="s">
        <v>382</v>
      </c>
      <c r="C8" s="110"/>
      <c r="D8" s="16" t="s">
        <v>51</v>
      </c>
    </row>
    <row r="9" spans="1:5" ht="15.6" x14ac:dyDescent="0.3">
      <c r="A9" s="6" t="s">
        <v>358</v>
      </c>
      <c r="B9" s="268" t="s">
        <v>359</v>
      </c>
      <c r="C9" s="110"/>
      <c r="D9" s="16" t="s">
        <v>51</v>
      </c>
    </row>
    <row r="10" spans="1:5" ht="16.2" thickBot="1" x14ac:dyDescent="0.35">
      <c r="A10" s="6" t="s">
        <v>360</v>
      </c>
      <c r="B10" s="17" t="s">
        <v>361</v>
      </c>
      <c r="C10" s="155"/>
      <c r="D10" s="16" t="s">
        <v>51</v>
      </c>
      <c r="E10" s="11" t="s">
        <v>485</v>
      </c>
    </row>
    <row r="12" spans="1:5" ht="16.2" x14ac:dyDescent="0.3">
      <c r="A12" s="267" t="s">
        <v>362</v>
      </c>
      <c r="C12" s="45" t="s">
        <v>144</v>
      </c>
      <c r="D12" s="234" t="s">
        <v>363</v>
      </c>
    </row>
    <row r="13" spans="1:5" ht="14.4" thickBot="1" x14ac:dyDescent="0.35">
      <c r="C13" s="235" t="s">
        <v>51</v>
      </c>
      <c r="D13" s="50" t="s">
        <v>51</v>
      </c>
    </row>
    <row r="14" spans="1:5" ht="14.4" thickBot="1" x14ac:dyDescent="0.35">
      <c r="C14" s="223"/>
      <c r="D14" s="53" t="e">
        <f>POWER(($C$8*C14)/($C$8+2*C14),2/3)</f>
        <v>#DIV/0!</v>
      </c>
      <c r="E14" s="11" t="s">
        <v>486</v>
      </c>
    </row>
    <row r="15" spans="1:5" x14ac:dyDescent="0.3">
      <c r="C15" s="236" t="e">
        <f>$C$7/($C$8*$C$6*D14*SQRT($C$5))</f>
        <v>#DIV/0!</v>
      </c>
      <c r="D15" s="53" t="e">
        <f t="shared" ref="D15:D20" si="0">POWER(($C$8*C15)/($C$8+2*C15),2/3)</f>
        <v>#DIV/0!</v>
      </c>
    </row>
    <row r="16" spans="1:5" x14ac:dyDescent="0.3">
      <c r="C16" s="236" t="e">
        <f t="shared" ref="C16:C20" si="1">$C$7/($C$8*$C$6*D15*SQRT($C$5))</f>
        <v>#DIV/0!</v>
      </c>
      <c r="D16" s="53" t="e">
        <f t="shared" si="0"/>
        <v>#DIV/0!</v>
      </c>
    </row>
    <row r="17" spans="1:8" x14ac:dyDescent="0.3">
      <c r="C17" s="236" t="e">
        <f t="shared" si="1"/>
        <v>#DIV/0!</v>
      </c>
      <c r="D17" s="53" t="e">
        <f t="shared" si="0"/>
        <v>#DIV/0!</v>
      </c>
    </row>
    <row r="18" spans="1:8" x14ac:dyDescent="0.3">
      <c r="C18" s="236" t="e">
        <f t="shared" si="1"/>
        <v>#DIV/0!</v>
      </c>
      <c r="D18" s="53" t="e">
        <f t="shared" si="0"/>
        <v>#DIV/0!</v>
      </c>
    </row>
    <row r="19" spans="1:8" x14ac:dyDescent="0.3">
      <c r="C19" s="236" t="e">
        <f t="shared" si="1"/>
        <v>#DIV/0!</v>
      </c>
      <c r="D19" s="53" t="e">
        <f t="shared" si="0"/>
        <v>#DIV/0!</v>
      </c>
    </row>
    <row r="20" spans="1:8" x14ac:dyDescent="0.3">
      <c r="C20" s="237" t="e">
        <f t="shared" si="1"/>
        <v>#DIV/0!</v>
      </c>
      <c r="D20" s="70" t="e">
        <f t="shared" si="0"/>
        <v>#DIV/0!</v>
      </c>
    </row>
    <row r="21" spans="1:8" ht="15.6" x14ac:dyDescent="0.3">
      <c r="A21" s="6" t="s">
        <v>493</v>
      </c>
      <c r="B21" s="17" t="s">
        <v>144</v>
      </c>
      <c r="C21" s="52" t="e">
        <f>$C$7/($C$8*$C$6*D20*SQRT($C$5))</f>
        <v>#DIV/0!</v>
      </c>
      <c r="D21" s="30" t="s">
        <v>51</v>
      </c>
      <c r="E21" s="11" t="s">
        <v>487</v>
      </c>
    </row>
    <row r="22" spans="1:8" ht="15.6" x14ac:dyDescent="0.3">
      <c r="A22" s="6" t="s">
        <v>364</v>
      </c>
      <c r="B22" s="17" t="s">
        <v>182</v>
      </c>
      <c r="C22" s="52" t="e">
        <f>C21/C9</f>
        <v>#DIV/0!</v>
      </c>
      <c r="D22" s="30" t="s">
        <v>50</v>
      </c>
    </row>
    <row r="23" spans="1:8" ht="15.6" x14ac:dyDescent="0.3">
      <c r="A23" s="6" t="s">
        <v>365</v>
      </c>
      <c r="B23" s="17" t="s">
        <v>489</v>
      </c>
      <c r="C23" s="52">
        <f>IF(C5&lt;0.0125,0.92-30*C5,0.55)</f>
        <v>0.92</v>
      </c>
      <c r="D23" s="30" t="s">
        <v>50</v>
      </c>
      <c r="E23" s="11" t="s">
        <v>495</v>
      </c>
    </row>
    <row r="24" spans="1:8" ht="15.6" x14ac:dyDescent="0.3">
      <c r="A24" s="6" t="s">
        <v>366</v>
      </c>
      <c r="B24" s="17" t="s">
        <v>367</v>
      </c>
      <c r="C24" s="52" t="e">
        <f>C7/(C8*C21)</f>
        <v>#DIV/0!</v>
      </c>
      <c r="D24" s="30" t="s">
        <v>368</v>
      </c>
    </row>
    <row r="25" spans="1:8" ht="15.6" x14ac:dyDescent="0.3">
      <c r="A25" s="6" t="s">
        <v>369</v>
      </c>
      <c r="B25" s="17" t="s">
        <v>370</v>
      </c>
      <c r="C25" s="52" t="e">
        <f>C21+(C24^2/(2*9.81))</f>
        <v>#DIV/0!</v>
      </c>
      <c r="D25" s="30" t="s">
        <v>51</v>
      </c>
    </row>
    <row r="26" spans="1:8" ht="15.6" x14ac:dyDescent="0.3">
      <c r="A26" s="6" t="s">
        <v>494</v>
      </c>
      <c r="B26" s="17" t="s">
        <v>183</v>
      </c>
      <c r="C26" s="261" t="e">
        <f>$C$7/(C8*C21*SQRT(9.81*C21))</f>
        <v>#DIV/0!</v>
      </c>
      <c r="D26" s="16" t="s">
        <v>50</v>
      </c>
      <c r="E26" s="6" t="s">
        <v>498</v>
      </c>
      <c r="F26" s="269">
        <v>1.5</v>
      </c>
      <c r="G26" s="84" t="s">
        <v>490</v>
      </c>
      <c r="H26" s="275">
        <v>10</v>
      </c>
    </row>
    <row r="28" spans="1:8" ht="15.6" x14ac:dyDescent="0.3">
      <c r="A28" s="267" t="s">
        <v>371</v>
      </c>
      <c r="B28" s="271" t="s">
        <v>42</v>
      </c>
      <c r="C28" s="214">
        <f>0.5*C44</f>
        <v>0</v>
      </c>
      <c r="D28" s="238" t="s">
        <v>51</v>
      </c>
    </row>
    <row r="29" spans="1:8" ht="15.6" x14ac:dyDescent="0.3">
      <c r="B29" s="78" t="s">
        <v>372</v>
      </c>
      <c r="C29" s="52">
        <f>0.5*(C34+C28+C37+C36)</f>
        <v>0</v>
      </c>
      <c r="D29" s="239" t="s">
        <v>51</v>
      </c>
      <c r="E29" s="271" t="s">
        <v>373</v>
      </c>
      <c r="F29" s="214">
        <f>C34-C29</f>
        <v>0</v>
      </c>
      <c r="G29" s="272" t="s">
        <v>51</v>
      </c>
    </row>
    <row r="30" spans="1:8" ht="15.6" x14ac:dyDescent="0.3">
      <c r="B30" s="78" t="s">
        <v>374</v>
      </c>
      <c r="C30" s="52">
        <f>0.5*(2*C28+C37+C36)</f>
        <v>0</v>
      </c>
      <c r="D30" s="239" t="s">
        <v>51</v>
      </c>
      <c r="E30" s="78" t="s">
        <v>375</v>
      </c>
      <c r="F30" s="52">
        <f>C28+C37+C36-C30</f>
        <v>0</v>
      </c>
      <c r="G30" s="79" t="s">
        <v>51</v>
      </c>
    </row>
    <row r="31" spans="1:8" ht="15.6" x14ac:dyDescent="0.3">
      <c r="B31" s="78" t="s">
        <v>376</v>
      </c>
      <c r="C31" s="52">
        <f>0.5*(C34+C28+C37-C35)</f>
        <v>0</v>
      </c>
      <c r="D31" s="239" t="s">
        <v>51</v>
      </c>
      <c r="E31" s="78" t="s">
        <v>377</v>
      </c>
      <c r="F31" s="52">
        <f>C34-C35-C31</f>
        <v>0</v>
      </c>
      <c r="G31" s="79" t="s">
        <v>51</v>
      </c>
    </row>
    <row r="32" spans="1:8" ht="15.6" x14ac:dyDescent="0.3">
      <c r="B32" s="273" t="s">
        <v>378</v>
      </c>
      <c r="C32" s="68">
        <f>C28+C37</f>
        <v>0</v>
      </c>
      <c r="D32" s="240" t="s">
        <v>51</v>
      </c>
      <c r="E32" s="273" t="s">
        <v>518</v>
      </c>
      <c r="F32" s="68">
        <f>C34-C35-C28</f>
        <v>0</v>
      </c>
      <c r="G32" s="208" t="s">
        <v>51</v>
      </c>
    </row>
    <row r="33" spans="1:11" ht="14.4" thickBot="1" x14ac:dyDescent="0.35"/>
    <row r="34" spans="1:11" ht="15" thickBot="1" x14ac:dyDescent="0.35">
      <c r="A34" s="6" t="s">
        <v>379</v>
      </c>
      <c r="B34" s="17" t="s">
        <v>380</v>
      </c>
      <c r="C34" s="43"/>
      <c r="D34" s="16" t="s">
        <v>51</v>
      </c>
      <c r="E34" s="16" t="s">
        <v>498</v>
      </c>
      <c r="F34" s="266">
        <f>C28+C37+C36</f>
        <v>0</v>
      </c>
      <c r="G34" s="84" t="s">
        <v>490</v>
      </c>
      <c r="H34" s="266">
        <f>3*C28+C37</f>
        <v>0</v>
      </c>
    </row>
    <row r="35" spans="1:11" ht="16.2" thickBot="1" x14ac:dyDescent="0.35">
      <c r="A35" s="6" t="s">
        <v>381</v>
      </c>
      <c r="B35" s="17" t="s">
        <v>382</v>
      </c>
      <c r="C35" s="52">
        <f>C8</f>
        <v>0</v>
      </c>
      <c r="D35" s="16" t="s">
        <v>51</v>
      </c>
      <c r="E35" s="16" t="s">
        <v>498</v>
      </c>
      <c r="F35" s="266">
        <f>0.8*C28</f>
        <v>0</v>
      </c>
      <c r="G35" s="84" t="s">
        <v>490</v>
      </c>
      <c r="H35" s="266">
        <f>2*C28</f>
        <v>0</v>
      </c>
      <c r="J35" s="52" t="e">
        <f>C35/C28</f>
        <v>#DIV/0!</v>
      </c>
      <c r="K35" s="11" t="s">
        <v>500</v>
      </c>
    </row>
    <row r="36" spans="1:11" ht="14.4" x14ac:dyDescent="0.3">
      <c r="A36" s="6" t="s">
        <v>383</v>
      </c>
      <c r="B36" s="17" t="s">
        <v>384</v>
      </c>
      <c r="C36" s="109"/>
      <c r="D36" s="16" t="s">
        <v>51</v>
      </c>
      <c r="E36" s="16" t="s">
        <v>498</v>
      </c>
      <c r="F36" s="266">
        <f>0.8*C28</f>
        <v>0</v>
      </c>
      <c r="G36" s="84" t="s">
        <v>490</v>
      </c>
      <c r="H36" s="266">
        <f>2*C28</f>
        <v>0</v>
      </c>
      <c r="J36" s="52" t="e">
        <f>C36/C28</f>
        <v>#DIV/0!</v>
      </c>
      <c r="K36" s="11" t="s">
        <v>501</v>
      </c>
    </row>
    <row r="37" spans="1:11" ht="14.4" x14ac:dyDescent="0.3">
      <c r="A37" s="6" t="s">
        <v>520</v>
      </c>
      <c r="B37" s="17" t="s">
        <v>175</v>
      </c>
      <c r="C37" s="110"/>
      <c r="D37" s="16" t="s">
        <v>51</v>
      </c>
      <c r="E37" s="16" t="s">
        <v>519</v>
      </c>
      <c r="G37" s="270"/>
      <c r="H37" s="266"/>
    </row>
    <row r="38" spans="1:11" ht="16.2" thickBot="1" x14ac:dyDescent="0.35">
      <c r="A38" s="6" t="s">
        <v>385</v>
      </c>
      <c r="B38" s="17" t="s">
        <v>386</v>
      </c>
      <c r="C38" s="155"/>
      <c r="D38" s="16" t="s">
        <v>50</v>
      </c>
      <c r="E38" s="16" t="s">
        <v>498</v>
      </c>
      <c r="F38" s="266">
        <v>0.1</v>
      </c>
      <c r="G38" s="84" t="s">
        <v>490</v>
      </c>
      <c r="H38" s="266" t="s">
        <v>387</v>
      </c>
    </row>
    <row r="39" spans="1:11" ht="15.6" x14ac:dyDescent="0.3">
      <c r="A39" s="6" t="s">
        <v>388</v>
      </c>
      <c r="B39" s="17" t="s">
        <v>152</v>
      </c>
      <c r="C39" s="80" t="e">
        <f>C29*(1.1+0.15*C26)*(((1.4142*C7)/SQRT(9.81*C35*C21*C29^3))-(0.5*C38))</f>
        <v>#DIV/0!</v>
      </c>
      <c r="D39" s="16" t="s">
        <v>51</v>
      </c>
      <c r="E39" s="11" t="s">
        <v>389</v>
      </c>
    </row>
    <row r="41" spans="1:11" ht="15.6" x14ac:dyDescent="0.3">
      <c r="A41" s="267" t="s">
        <v>390</v>
      </c>
    </row>
    <row r="42" spans="1:11" ht="15.6" x14ac:dyDescent="0.3">
      <c r="A42" s="6" t="s">
        <v>391</v>
      </c>
      <c r="B42" s="17" t="s">
        <v>392</v>
      </c>
      <c r="C42" s="52">
        <f>1.25*POWER((C7^2/9.81),1/5)</f>
        <v>0</v>
      </c>
      <c r="D42" s="16" t="s">
        <v>51</v>
      </c>
      <c r="E42" s="11" t="s">
        <v>393</v>
      </c>
    </row>
    <row r="43" spans="1:11" ht="16.2" thickBot="1" x14ac:dyDescent="0.35">
      <c r="A43" s="6" t="s">
        <v>394</v>
      </c>
      <c r="B43" s="17" t="s">
        <v>395</v>
      </c>
      <c r="C43" s="52">
        <f>1.5*C42</f>
        <v>0</v>
      </c>
      <c r="D43" s="16" t="s">
        <v>51</v>
      </c>
    </row>
    <row r="44" spans="1:11" ht="16.2" thickBot="1" x14ac:dyDescent="0.35">
      <c r="A44" s="6" t="s">
        <v>396</v>
      </c>
      <c r="B44" s="17" t="s">
        <v>440</v>
      </c>
      <c r="C44" s="43"/>
      <c r="D44" s="16" t="s">
        <v>51</v>
      </c>
      <c r="E44" s="11" t="s">
        <v>397</v>
      </c>
    </row>
    <row r="45" spans="1:11" ht="15.6" x14ac:dyDescent="0.3">
      <c r="A45" s="6" t="s">
        <v>398</v>
      </c>
      <c r="B45" s="17" t="s">
        <v>399</v>
      </c>
      <c r="C45" s="52" t="e">
        <f>((1.5*POWER(C6,1.2))/9.81)*POWER(C7/(PI()*C44),0.8)</f>
        <v>#DIV/0!</v>
      </c>
      <c r="D45" s="16" t="s">
        <v>51</v>
      </c>
      <c r="E45" s="11" t="s">
        <v>400</v>
      </c>
    </row>
    <row r="46" spans="1:11" ht="15.6" x14ac:dyDescent="0.3">
      <c r="A46" s="6" t="s">
        <v>401</v>
      </c>
      <c r="B46" s="17" t="s">
        <v>402</v>
      </c>
      <c r="C46" s="52" t="e">
        <f>POWER(C6,0.6)*POWER(C7/(PI()*C44),0.4)</f>
        <v>#DIV/0!</v>
      </c>
      <c r="D46" s="16" t="s">
        <v>368</v>
      </c>
      <c r="E46" s="11" t="s">
        <v>403</v>
      </c>
    </row>
    <row r="47" spans="1:11" ht="16.2" x14ac:dyDescent="0.3">
      <c r="A47" s="6" t="s">
        <v>404</v>
      </c>
      <c r="B47" s="17" t="s">
        <v>405</v>
      </c>
      <c r="C47" s="84" t="e">
        <f>IF(C10&gt;C45,C46,C46*SQRT(TANH(C10/(C45/3))))</f>
        <v>#DIV/0!</v>
      </c>
      <c r="D47" s="16" t="s">
        <v>368</v>
      </c>
      <c r="E47" s="11" t="s">
        <v>406</v>
      </c>
      <c r="H47" s="274"/>
    </row>
    <row r="48" spans="1:11" ht="14.4" x14ac:dyDescent="0.3">
      <c r="A48" s="6" t="s">
        <v>407</v>
      </c>
      <c r="B48" s="17" t="s">
        <v>272</v>
      </c>
      <c r="C48" s="52" t="e">
        <f>(C25+C10-(C47^2/(2*9.81)))/(C25+C10)</f>
        <v>#DIV/0!</v>
      </c>
      <c r="D48" s="16" t="s">
        <v>50</v>
      </c>
    </row>
    <row r="49" spans="1:7" ht="16.8" thickBot="1" x14ac:dyDescent="0.35">
      <c r="A49" s="6" t="s">
        <v>408</v>
      </c>
      <c r="B49" s="17" t="s">
        <v>409</v>
      </c>
      <c r="C49" s="52">
        <f>0.0141*C6*POWER(C10,1/3)*POWER(C44,7/3)</f>
        <v>0</v>
      </c>
      <c r="D49" s="16" t="s">
        <v>53</v>
      </c>
    </row>
    <row r="50" spans="1:7" ht="16.2" thickBot="1" x14ac:dyDescent="0.35">
      <c r="A50" s="6" t="s">
        <v>410</v>
      </c>
      <c r="B50" s="17" t="s">
        <v>411</v>
      </c>
      <c r="C50" s="265"/>
      <c r="D50" s="16" t="s">
        <v>368</v>
      </c>
      <c r="E50" s="84" t="s">
        <v>490</v>
      </c>
      <c r="F50" s="11" t="s">
        <v>412</v>
      </c>
    </row>
    <row r="51" spans="1:7" ht="15.6" x14ac:dyDescent="0.3">
      <c r="A51" s="6" t="s">
        <v>497</v>
      </c>
      <c r="B51" s="17" t="s">
        <v>413</v>
      </c>
      <c r="C51" s="52" t="e">
        <f>SQRT((4*C49)/(C50*PI()))</f>
        <v>#DIV/0!</v>
      </c>
      <c r="D51" s="16" t="s">
        <v>51</v>
      </c>
    </row>
    <row r="53" spans="1:7" ht="14.4" thickBot="1" x14ac:dyDescent="0.35">
      <c r="A53" s="82" t="s">
        <v>414</v>
      </c>
    </row>
    <row r="54" spans="1:7" ht="16.2" thickBot="1" x14ac:dyDescent="0.4">
      <c r="A54" s="6" t="s">
        <v>415</v>
      </c>
      <c r="B54" s="17" t="s">
        <v>416</v>
      </c>
      <c r="C54" s="43"/>
      <c r="D54" s="16" t="s">
        <v>51</v>
      </c>
      <c r="E54" s="1" t="s">
        <v>502</v>
      </c>
    </row>
    <row r="55" spans="1:7" ht="15.6" x14ac:dyDescent="0.3">
      <c r="A55" s="6" t="s">
        <v>417</v>
      </c>
      <c r="B55" s="17" t="s">
        <v>418</v>
      </c>
      <c r="C55" s="52">
        <f>C44*4</f>
        <v>0</v>
      </c>
      <c r="D55" s="16" t="s">
        <v>51</v>
      </c>
    </row>
    <row r="56" spans="1:7" ht="15.6" x14ac:dyDescent="0.3">
      <c r="A56" s="6" t="s">
        <v>178</v>
      </c>
      <c r="B56" s="17" t="s">
        <v>419</v>
      </c>
      <c r="C56" s="52">
        <f>C44*1.2</f>
        <v>0</v>
      </c>
      <c r="D56" s="16" t="s">
        <v>51</v>
      </c>
      <c r="E56" s="6" t="s">
        <v>498</v>
      </c>
      <c r="F56" s="52">
        <f>MAX($C$44,$C$54)</f>
        <v>0</v>
      </c>
      <c r="G56" s="16" t="s">
        <v>51</v>
      </c>
    </row>
    <row r="57" spans="1:7" ht="15.6" x14ac:dyDescent="0.3">
      <c r="A57" s="6" t="s">
        <v>420</v>
      </c>
      <c r="B57" s="17" t="s">
        <v>421</v>
      </c>
      <c r="C57" s="52">
        <f>C44*2</f>
        <v>0</v>
      </c>
      <c r="D57" s="16" t="s">
        <v>51</v>
      </c>
    </row>
  </sheetData>
  <conditionalFormatting sqref="C26">
    <cfRule type="cellIs" dxfId="0" priority="1" operator="between">
      <formula>0.75</formula>
      <formula>1.5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Anmerkungen</vt:lpstr>
      <vt:lpstr>Rohrhydraulik</vt:lpstr>
      <vt:lpstr>Vereinigung schiessend</vt:lpstr>
      <vt:lpstr>Krümmer schiessend</vt:lpstr>
      <vt:lpstr>Streichwehr</vt:lpstr>
      <vt:lpstr>Bodenöffnung</vt:lpstr>
      <vt:lpstr>Absturz vert. PP</vt:lpstr>
      <vt:lpstr>WFS strömend</vt:lpstr>
      <vt:lpstr>WFS schiessend</vt:lpstr>
    </vt:vector>
  </TitlesOfParts>
  <Company>HEFR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Pfister Michael</dc:creator>
  <cp:lastModifiedBy>Pfister Michael</cp:lastModifiedBy>
  <dcterms:created xsi:type="dcterms:W3CDTF">2020-08-19T14:42:58Z</dcterms:created>
  <dcterms:modified xsi:type="dcterms:W3CDTF">2024-02-07T14:03:28Z</dcterms:modified>
</cp:coreProperties>
</file>